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drawings/drawing5.xml" ContentType="application/vnd.openxmlformats-officedocument.drawing+xml"/>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activeX/activeX6.xml" ContentType="application/vnd.ms-office.activeX+xml"/>
  <Override PartName="/xl/activeX/activeX6.bin" ContentType="application/vnd.ms-office.activeX"/>
  <Override PartName="/xl/drawings/drawing8.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drawings/drawing9.xml" ContentType="application/vnd.openxmlformats-officedocument.drawing+xml"/>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mc:AlternateContent xmlns:mc="http://schemas.openxmlformats.org/markup-compatibility/2006">
    <mc:Choice Requires="x15">
      <x15ac:absPath xmlns:x15ac="http://schemas.microsoft.com/office/spreadsheetml/2010/11/ac" url="O:\Docs\COMMUNICATIE\EVENEMENTENLOKET\Aanpassing website\"/>
    </mc:Choice>
  </mc:AlternateContent>
  <xr:revisionPtr revIDLastSave="0" documentId="8_{FAB02C48-F602-4DE1-BB20-DE887B86D08B}" xr6:coauthVersionLast="44" xr6:coauthVersionMax="44" xr10:uidLastSave="{00000000-0000-0000-0000-000000000000}"/>
  <workbookProtection workbookPassword="DC65" lockStructure="1"/>
  <bookViews>
    <workbookView xWindow="-110" yWindow="-110" windowWidth="19420" windowHeight="10420" tabRatio="814" xr2:uid="{00000000-000D-0000-FFFF-FFFF00000000}"/>
  </bookViews>
  <sheets>
    <sheet name="Inlichtingen" sheetId="39" r:id="rId1"/>
    <sheet name="LUIK 1 - AANVRAAG" sheetId="5" r:id="rId2"/>
    <sheet name="LUIK 2 - RISICOVRAAG" sheetId="4" r:id="rId3"/>
    <sheet name="LUIK 4 - RISICO'S VGZ" sheetId="2" r:id="rId4"/>
    <sheet name="LUIK3 + SCORE" sheetId="10" r:id="rId5"/>
    <sheet name="Adressen Ziekenwagen" sheetId="31" r:id="rId6"/>
    <sheet name="Adressen MUG diensten" sheetId="35" r:id="rId7"/>
    <sheet name="Adressen Spoedgevallendiensten" sheetId="36" r:id="rId8"/>
    <sheet name="Toiletten" sheetId="32" r:id="rId9"/>
    <sheet name="LUIK Organisator" sheetId="37" r:id="rId10"/>
    <sheet name="Verzorgingen" sheetId="22" r:id="rId11"/>
    <sheet name="LUIK Rampen" sheetId="38" state="hidden" r:id="rId12"/>
    <sheet name="LUIK6" sheetId="27" state="hidden" r:id="rId13"/>
    <sheet name="LUIK7" sheetId="29" state="hidden" r:id="rId14"/>
    <sheet name="LUIK8" sheetId="30" state="hidden" r:id="rId15"/>
    <sheet name="LUIK5" sheetId="25" state="hidden" r:id="rId16"/>
    <sheet name="deel 1 brief geen advies" sheetId="26" state="hidden" r:id="rId17"/>
    <sheet name="deel 2 brief geen advies" sheetId="28" state="hidden" r:id="rId18"/>
    <sheet name="deel 1 brief" sheetId="19" state="hidden" r:id="rId19"/>
    <sheet name="deel 2 brief" sheetId="20" state="hidden" r:id="rId20"/>
    <sheet name="deel 3 brief lijst" sheetId="41" state="hidden" r:id="rId21"/>
    <sheet name="burgemeester" sheetId="21" state="hidden" r:id="rId22"/>
    <sheet name="100" sheetId="24" state="hidden" r:id="rId23"/>
    <sheet name="CIJFERS" sheetId="33" state="hidden" r:id="rId24"/>
    <sheet name="LUIK 3" sheetId="7" state="hidden" r:id="rId25"/>
    <sheet name="INTERPRETATIE" sheetId="9" state="hidden" r:id="rId26"/>
    <sheet name="RESULTATEN" sheetId="8" state="hidden" r:id="rId27"/>
    <sheet name="WERKDOC" sheetId="11" state="hidden" r:id="rId28"/>
    <sheet name="LIJST" sheetId="6" state="hidden" r:id="rId29"/>
    <sheet name="Registratie" sheetId="23" state="hidden" r:id="rId30"/>
    <sheet name="Blad1" sheetId="34" state="hidden" r:id="rId31"/>
  </sheets>
  <externalReferences>
    <externalReference r:id="rId32"/>
  </externalReferences>
  <definedNames>
    <definedName name="_xlnm._FilterDatabase" localSheetId="6" hidden="1">'Adressen MUG diensten'!$A$3:$E$3</definedName>
    <definedName name="_xlnm._FilterDatabase" localSheetId="7" hidden="1">'Adressen Spoedgevallendiensten'!$A$3:$E$3</definedName>
    <definedName name="_xlnm._FilterDatabase" localSheetId="5" hidden="1">'Adressen Ziekenwagen'!$A$3:$E$245</definedName>
    <definedName name="_xlnm._FilterDatabase" localSheetId="18" hidden="1">'deel 1 brief'!$F$30:$F$129</definedName>
    <definedName name="_xlnm._FilterDatabase" localSheetId="16" hidden="1">'deel 1 brief geen advies'!$F$4:$F$74</definedName>
    <definedName name="_xlnm._FilterDatabase" localSheetId="19" hidden="1">'deel 2 brief'!$F$9:$F$135</definedName>
    <definedName name="_xlnm._FilterDatabase" localSheetId="17" hidden="1">'deel 2 brief geen advies'!$F$10:$F$134</definedName>
    <definedName name="_xlnm._FilterDatabase" localSheetId="28" hidden="1">LIJST!#REF!</definedName>
    <definedName name="_xlnm._FilterDatabase" localSheetId="1" hidden="1">'LUIK 1 - AANVRAAG'!$G$6:$K$6</definedName>
    <definedName name="_xlnm._FilterDatabase" localSheetId="26" hidden="1">RESULTATEN!$A$81:$H$81</definedName>
    <definedName name="_xlnm._FilterDatabase" localSheetId="27" hidden="1">WERKDOC!$A$2:$P$2</definedName>
    <definedName name="_xlnm.Print_Area" localSheetId="22">'100'!$A$1:$C$53</definedName>
    <definedName name="_xlnm.Print_Area" localSheetId="21">burgemeester!$A$1:$C$55</definedName>
    <definedName name="_xlnm.Print_Area" localSheetId="18">'deel 1 brief'!$A$1:$D$144</definedName>
    <definedName name="_xlnm.Print_Area" localSheetId="16">'deel 1 brief geen advies'!$A$1:$D$72</definedName>
    <definedName name="_xlnm.Print_Area" localSheetId="19">'deel 2 brief'!$A$1:$E$141</definedName>
    <definedName name="_xlnm.Print_Area" localSheetId="17">'deel 2 brief geen advies'!$A$1:$E$134</definedName>
    <definedName name="_xlnm.Print_Area" localSheetId="20">'deel 3 brief lijst'!#REF!</definedName>
    <definedName name="_xlnm.Print_Area" localSheetId="0">Inlichtingen!$A$1:$C$45</definedName>
    <definedName name="_xlnm.Print_Area" localSheetId="1">'LUIK 1 - AANVRAAG'!$A$1:$M$69</definedName>
    <definedName name="_xlnm.Print_Area" localSheetId="2">'LUIK 2 - RISICOVRAAG'!$A$1:$E$27</definedName>
    <definedName name="_xlnm.Print_Area" localSheetId="3">'LUIK 4 - RISICO''S VGZ'!$A$4:$J$38</definedName>
    <definedName name="_xlnm.Print_Area" localSheetId="15">LUIK5!$A$35:$F$55</definedName>
    <definedName name="_xlnm.Print_Area" localSheetId="27">WERKDOC!$A$1:$B$49</definedName>
    <definedName name="_xlnm.Print_Titles" localSheetId="6">'Adressen MUG diensten'!$3:$3</definedName>
    <definedName name="_xlnm.Print_Titles" localSheetId="7">'Adressen Spoedgevallendiensten'!$3:$3</definedName>
    <definedName name="_xlnm.Print_Titles" localSheetId="5">'Adressen Ziekenwagen'!$3:$3</definedName>
    <definedName name="Alcohol">LIJST!$D$2:$D$6</definedName>
    <definedName name="Bereikbaarheid">LIJST!$B$2:$B$5</definedName>
    <definedName name="Communicatie">LIJST!$L$2:$L$4</definedName>
    <definedName name="Drugs">LIJST!$E$2:$E$6</definedName>
    <definedName name="Duur">LIJST!$I$2:$I$6</definedName>
    <definedName name="Evenementen">LIJST!$A$2:$A$41</definedName>
    <definedName name="Leeftijd">LIJST!$C$2:$C$8</definedName>
    <definedName name="MUG" localSheetId="6">'Adressen MUG diensten'!$E$2</definedName>
    <definedName name="MUG" localSheetId="7">'Adressen Spoedgevallendiensten'!$E$2</definedName>
    <definedName name="MUG">'Adressen Ziekenwagen'!$D$2</definedName>
    <definedName name="MUGdienst">'LUIK 2 - RISICOVRAAG'!$D$5</definedName>
    <definedName name="Nuts">LIJST!$N$2:$N$8</definedName>
    <definedName name="Nutsvoorziening">LIJST!$K$2:$K$5</definedName>
    <definedName name="Pathologie">LIJST!$G$2:$G$5</definedName>
    <definedName name="Publiek">LIJST!$F$2:$F$4</definedName>
    <definedName name="ramp1">'LUIK Rampen'!$B$24</definedName>
    <definedName name="ramp2">'LUIK Rampen'!$B$25</definedName>
    <definedName name="ramp3">'LUIK Rampen'!$B$27</definedName>
    <definedName name="ramp4">'LUIK Rampen'!$B$26</definedName>
    <definedName name="SPOED" localSheetId="6">'Adressen MUG diensten'!$I$2</definedName>
    <definedName name="SPOED" localSheetId="7">'Adressen Spoedgevallendiensten'!$I$2</definedName>
    <definedName name="spoed2">'LUIK3 + SCORE'!$E$18</definedName>
    <definedName name="Temperatuur">LIJST!$J$2:$J$10</definedName>
    <definedName name="toiletten2">'LUIK 4 - RISICO''S VGZ'!$C$10</definedName>
    <definedName name="vervoer">LIJST!$M$2:$M$5</definedName>
    <definedName name="voeding">LIJST!$H$2:$H$5</definedName>
    <definedName name="waardeinzet3">'LUIK3 + SCORE'!$F$125</definedName>
    <definedName name="waardeinzet6">LUIK6!$A$15</definedName>
    <definedName name="waardeinzet7">LUIK7!$A$16</definedName>
    <definedName name="waardeinzet8">LUIK8!$A$22</definedName>
    <definedName name="waardeinzethulp6">LUIK6!$A$16</definedName>
    <definedName name="waardeinzethulp7">LUIK7!$A$17</definedName>
    <definedName name="waardeinzethulp8">LUIK8!$A$23</definedName>
    <definedName name="waardeinzetorg">'LUIK Rampen'!$B$21</definedName>
    <definedName name="waardeluik1.1">'LUIK 1 - AANVRAAG'!$I$69</definedName>
    <definedName name="waardeluik2.1">'LUIK 2 - RISICOVRAAG'!$C$31</definedName>
    <definedName name="waardeluik2.2">'LUIK 2 - RISICOVRAAG'!$C$32</definedName>
    <definedName name="waardeluik3.1">'LUIK3 + SCORE'!$F$121</definedName>
    <definedName name="waardeluik3.2">'LUIK3 + SCORE'!$F$122</definedName>
    <definedName name="waardeluik3.3">'LUIK3 + SCORE'!$F$124</definedName>
    <definedName name="waardeluik3.4">'LUIK3 + SCORE'!$F$123</definedName>
    <definedName name="waardeluik4.1">'LUIK 4 - RISICO''S VGZ'!$D$48</definedName>
    <definedName name="waardeluik4.2">'LUIK 4 - RISICO''S VGZ'!$D$49</definedName>
    <definedName name="Waardeluik4.4">'LUIK 4 - RISICO''S VGZ'!$D$50</definedName>
    <definedName name="waardeluik6.1">LUIK6!$A$19</definedName>
    <definedName name="waardeluik6.2">LUIK6!$A$20</definedName>
    <definedName name="waardeluik6.3">LUIK6!$A$22</definedName>
    <definedName name="waardeluik6.4">LUIK6!$A$21</definedName>
    <definedName name="waardeluik7.1">LUIK7!$A$20</definedName>
    <definedName name="waardeluik7.2">LUIK7!$A$21</definedName>
    <definedName name="waardeluik7.3">LUIK7!$A$23</definedName>
    <definedName name="waardeluik7.4">LUIK7!$A$22</definedName>
    <definedName name="waardeluik8.1">LUIK8!$A$26</definedName>
    <definedName name="waardeluik8.2">LUIK8!$A$27</definedName>
    <definedName name="waardeluik8.3">LUIK8!$A$29</definedName>
    <definedName name="waardeluik8.4">LUIK8!$A$28</definedName>
    <definedName name="waardemed4">'LUIK 4 - RISICO''S VGZ'!$D$51</definedName>
    <definedName name="waardeorg">'LUIK Rampen'!$B$20</definedName>
    <definedName name="ziekenwagen">'LUIK 2 - RISICOVRAAG'!$D$4</definedName>
    <definedName name="ZW" localSheetId="6">'Adressen MUG diensten'!$A$2</definedName>
    <definedName name="ZW" localSheetId="7">'Adressen Spoedgevallendiensten'!$A$2</definedName>
    <definedName name="ZW" localSheetId="0">'[1]Adressen Ziekenwagen'!#REF!</definedName>
    <definedName name="ZW">'Adressen Ziekenwagen'!#REF!</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8" i="10" l="1"/>
  <c r="A2" i="26"/>
  <c r="A51" i="24"/>
  <c r="A50" i="24"/>
  <c r="A49" i="24"/>
  <c r="A53" i="24"/>
  <c r="A55" i="21"/>
  <c r="B4" i="21"/>
  <c r="B3" i="21"/>
  <c r="B2" i="21"/>
  <c r="B1" i="21"/>
  <c r="B11" i="21"/>
  <c r="B10" i="21"/>
  <c r="B9" i="21"/>
  <c r="B12" i="21"/>
  <c r="B8" i="21"/>
  <c r="B7" i="21"/>
  <c r="A53" i="21"/>
  <c r="A52" i="21"/>
  <c r="A51" i="21"/>
  <c r="A50" i="21"/>
  <c r="A140" i="20"/>
  <c r="A139" i="20"/>
  <c r="A138" i="20"/>
  <c r="A137" i="20"/>
  <c r="A144" i="19"/>
  <c r="A143" i="19"/>
  <c r="A142" i="19"/>
  <c r="A141" i="19"/>
  <c r="C2" i="24"/>
  <c r="C1" i="24"/>
  <c r="C2" i="41"/>
  <c r="C1" i="41"/>
  <c r="C2" i="20"/>
  <c r="C1" i="20"/>
  <c r="C2" i="19"/>
  <c r="B1" i="19"/>
  <c r="C3" i="28"/>
  <c r="C2" i="28"/>
  <c r="A3" i="26"/>
  <c r="B6" i="30"/>
  <c r="B10" i="29"/>
  <c r="B11" i="27"/>
  <c r="B49" i="39"/>
  <c r="AN4" i="23"/>
  <c r="E50" i="10"/>
  <c r="G57" i="9"/>
  <c r="G58" i="9"/>
  <c r="G59" i="9"/>
  <c r="F30" i="20"/>
  <c r="F31" i="28"/>
  <c r="E102" i="10"/>
  <c r="I102" i="10"/>
  <c r="B47" i="11"/>
  <c r="D19" i="2"/>
  <c r="D20" i="2"/>
  <c r="D21" i="2"/>
  <c r="D22" i="2"/>
  <c r="D50" i="2"/>
  <c r="E61" i="10"/>
  <c r="I42" i="10"/>
  <c r="C32" i="4"/>
  <c r="F6" i="25"/>
  <c r="Q4" i="23"/>
  <c r="P4" i="23"/>
  <c r="O4" i="23"/>
  <c r="N4" i="23"/>
  <c r="I55" i="10"/>
  <c r="H56" i="19"/>
  <c r="B5" i="41"/>
  <c r="C4" i="41"/>
  <c r="E6" i="10"/>
  <c r="I6" i="10"/>
  <c r="J6" i="10"/>
  <c r="G8" i="9"/>
  <c r="D49" i="2"/>
  <c r="F124" i="10"/>
  <c r="F7" i="25"/>
  <c r="F122" i="10"/>
  <c r="F32" i="20"/>
  <c r="F33" i="28"/>
  <c r="F31" i="20"/>
  <c r="F32" i="28"/>
  <c r="A134" i="19"/>
  <c r="F134" i="19"/>
  <c r="A137" i="19"/>
  <c r="F137" i="19"/>
  <c r="A138" i="19"/>
  <c r="F138" i="19"/>
  <c r="A135" i="19"/>
  <c r="F135" i="19"/>
  <c r="A136" i="19"/>
  <c r="F136" i="19"/>
  <c r="F131" i="19"/>
  <c r="C135" i="19"/>
  <c r="D135" i="19"/>
  <c r="C136" i="19"/>
  <c r="D136" i="19"/>
  <c r="C137" i="19"/>
  <c r="D137" i="19"/>
  <c r="C138" i="19"/>
  <c r="D138" i="19"/>
  <c r="D134" i="19"/>
  <c r="C134" i="19"/>
  <c r="E75" i="10"/>
  <c r="I75" i="10"/>
  <c r="E76" i="10"/>
  <c r="I76" i="10"/>
  <c r="E77" i="10"/>
  <c r="I77" i="10"/>
  <c r="E79" i="10"/>
  <c r="I79" i="10"/>
  <c r="D115" i="20"/>
  <c r="F116" i="20"/>
  <c r="D114" i="28"/>
  <c r="F115" i="28"/>
  <c r="E99" i="10"/>
  <c r="E97" i="10"/>
  <c r="E64" i="10"/>
  <c r="E60" i="10"/>
  <c r="AQ4" i="23"/>
  <c r="E4" i="4"/>
  <c r="E5" i="4"/>
  <c r="I44" i="10"/>
  <c r="I43" i="10"/>
  <c r="I82" i="10"/>
  <c r="J82" i="10"/>
  <c r="C51" i="20"/>
  <c r="C51" i="28"/>
  <c r="I18" i="10"/>
  <c r="E11" i="10"/>
  <c r="F2" i="34"/>
  <c r="H2" i="34"/>
  <c r="G2" i="34"/>
  <c r="I2" i="34"/>
  <c r="J2" i="34"/>
  <c r="F3" i="34"/>
  <c r="G3" i="34"/>
  <c r="H3" i="34"/>
  <c r="I3" i="34"/>
  <c r="J3" i="34"/>
  <c r="F4" i="34"/>
  <c r="G4" i="34"/>
  <c r="I4" i="34"/>
  <c r="H4" i="34"/>
  <c r="J4" i="34"/>
  <c r="F5" i="34"/>
  <c r="H5" i="34"/>
  <c r="G5" i="34"/>
  <c r="I5" i="34"/>
  <c r="J5" i="34"/>
  <c r="F6" i="34"/>
  <c r="H6" i="34"/>
  <c r="G6" i="34"/>
  <c r="I6" i="34"/>
  <c r="J6" i="34"/>
  <c r="F7" i="34"/>
  <c r="G7" i="34"/>
  <c r="H7" i="34"/>
  <c r="I7" i="34"/>
  <c r="J7" i="34"/>
  <c r="F8" i="34"/>
  <c r="G8" i="34"/>
  <c r="I8" i="34"/>
  <c r="H8" i="34"/>
  <c r="J8" i="34"/>
  <c r="F9" i="34"/>
  <c r="H9" i="34"/>
  <c r="G9" i="34"/>
  <c r="I9" i="34"/>
  <c r="J9" i="34"/>
  <c r="F10" i="34"/>
  <c r="H10" i="34"/>
  <c r="G10" i="34"/>
  <c r="I10" i="34"/>
  <c r="J10" i="34"/>
  <c r="B4" i="23"/>
  <c r="C4" i="23"/>
  <c r="E4" i="23"/>
  <c r="F4" i="23"/>
  <c r="G4" i="23"/>
  <c r="H4" i="23"/>
  <c r="I4" i="23"/>
  <c r="J4" i="23"/>
  <c r="K4" i="23"/>
  <c r="L4" i="23"/>
  <c r="I53" i="10"/>
  <c r="I9" i="10"/>
  <c r="J9" i="10"/>
  <c r="G10" i="9"/>
  <c r="AC4" i="23"/>
  <c r="AD4" i="23"/>
  <c r="AE4" i="23"/>
  <c r="AF4" i="23"/>
  <c r="AG4" i="23"/>
  <c r="AH4" i="23"/>
  <c r="AI4" i="23"/>
  <c r="AJ4" i="23"/>
  <c r="AK4" i="23"/>
  <c r="AL4" i="23"/>
  <c r="AM4" i="23"/>
  <c r="J19" i="2"/>
  <c r="J20" i="2"/>
  <c r="J21" i="2"/>
  <c r="J22" i="2"/>
  <c r="J26" i="2"/>
  <c r="D30" i="2"/>
  <c r="E20" i="10"/>
  <c r="I20" i="10"/>
  <c r="H44" i="8"/>
  <c r="F11" i="20"/>
  <c r="I19" i="10"/>
  <c r="E21" i="10"/>
  <c r="I21" i="10"/>
  <c r="H46" i="8"/>
  <c r="E23" i="10"/>
  <c r="I23" i="10"/>
  <c r="H49" i="8"/>
  <c r="A8" i="11"/>
  <c r="B8" i="11"/>
  <c r="I97" i="10"/>
  <c r="I99" i="10"/>
  <c r="I98" i="10"/>
  <c r="B11" i="11"/>
  <c r="G56" i="9"/>
  <c r="A46" i="11"/>
  <c r="A47" i="11"/>
  <c r="B1" i="8"/>
  <c r="F1" i="8"/>
  <c r="B2" i="8"/>
  <c r="B3" i="8"/>
  <c r="F3" i="8"/>
  <c r="G20" i="9"/>
  <c r="B8" i="8"/>
  <c r="E9" i="8"/>
  <c r="B10" i="8"/>
  <c r="K11" i="8"/>
  <c r="B14" i="8"/>
  <c r="B15" i="8"/>
  <c r="B16" i="8"/>
  <c r="B17" i="8"/>
  <c r="B18" i="8"/>
  <c r="H43" i="8"/>
  <c r="H60" i="8"/>
  <c r="H61" i="8"/>
  <c r="H62" i="8"/>
  <c r="H64" i="8"/>
  <c r="K78" i="8"/>
  <c r="K79" i="8"/>
  <c r="K80" i="8"/>
  <c r="K81" i="8"/>
  <c r="H94" i="8"/>
  <c r="H96" i="8"/>
  <c r="H97" i="8"/>
  <c r="H3" i="33"/>
  <c r="H13" i="33"/>
  <c r="E4" i="33"/>
  <c r="H4" i="33"/>
  <c r="H14" i="33"/>
  <c r="H5" i="33"/>
  <c r="H6" i="33"/>
  <c r="E7" i="33"/>
  <c r="H7" i="33"/>
  <c r="H17" i="33"/>
  <c r="H15" i="33"/>
  <c r="H16" i="33"/>
  <c r="K15" i="9"/>
  <c r="K16" i="9"/>
  <c r="C45" i="20"/>
  <c r="D104" i="19"/>
  <c r="E7" i="10"/>
  <c r="I7" i="10"/>
  <c r="J7" i="10"/>
  <c r="G18" i="9"/>
  <c r="K24" i="9"/>
  <c r="J24" i="9"/>
  <c r="M24" i="9"/>
  <c r="N24" i="9"/>
  <c r="K25" i="9"/>
  <c r="K26" i="9"/>
  <c r="J26" i="9"/>
  <c r="M25" i="9"/>
  <c r="N25" i="9"/>
  <c r="K27" i="9"/>
  <c r="J27" i="9"/>
  <c r="M26" i="9"/>
  <c r="N26" i="9"/>
  <c r="K28" i="9"/>
  <c r="J28" i="9"/>
  <c r="M27" i="9"/>
  <c r="N27" i="9"/>
  <c r="I10" i="10"/>
  <c r="J10" i="10"/>
  <c r="I11" i="10"/>
  <c r="G28" i="9"/>
  <c r="M28" i="9"/>
  <c r="N28" i="9"/>
  <c r="I14" i="10"/>
  <c r="K29" i="9"/>
  <c r="J29" i="9"/>
  <c r="M29" i="9"/>
  <c r="N29" i="9"/>
  <c r="K52" i="9"/>
  <c r="L52" i="9"/>
  <c r="K53" i="9"/>
  <c r="L53" i="9"/>
  <c r="G55" i="9"/>
  <c r="K56" i="9"/>
  <c r="E57" i="9"/>
  <c r="K57" i="9"/>
  <c r="E58" i="9"/>
  <c r="K58" i="9"/>
  <c r="E59" i="9"/>
  <c r="K59" i="9"/>
  <c r="J67" i="9"/>
  <c r="I60" i="10"/>
  <c r="I61" i="10"/>
  <c r="I64" i="10"/>
  <c r="J65" i="10"/>
  <c r="G73" i="9"/>
  <c r="D85" i="9"/>
  <c r="D86" i="9"/>
  <c r="G112" i="9"/>
  <c r="I12" i="7"/>
  <c r="AN40" i="7"/>
  <c r="M43" i="7"/>
  <c r="N43" i="7"/>
  <c r="M44" i="7"/>
  <c r="M45" i="7"/>
  <c r="N45" i="7"/>
  <c r="AN55" i="7"/>
  <c r="AN46" i="7"/>
  <c r="AN47" i="7"/>
  <c r="AN48" i="7"/>
  <c r="M49" i="7"/>
  <c r="AN49" i="7"/>
  <c r="AN50" i="7"/>
  <c r="AN52" i="7"/>
  <c r="AN53" i="7"/>
  <c r="K53" i="7"/>
  <c r="M53" i="7"/>
  <c r="N53" i="7"/>
  <c r="AH55" i="7"/>
  <c r="AN42" i="7"/>
  <c r="K42" i="7"/>
  <c r="B12" i="24"/>
  <c r="B13" i="24"/>
  <c r="B14" i="24"/>
  <c r="B15" i="24"/>
  <c r="C15" i="24"/>
  <c r="B19" i="24"/>
  <c r="B6" i="21"/>
  <c r="B14" i="21"/>
  <c r="A15" i="21"/>
  <c r="B16" i="21"/>
  <c r="B24" i="21"/>
  <c r="B25" i="21"/>
  <c r="B26" i="21"/>
  <c r="B30" i="21"/>
  <c r="B31" i="21"/>
  <c r="B32" i="21"/>
  <c r="B33" i="21"/>
  <c r="B34" i="21"/>
  <c r="B35" i="21"/>
  <c r="B39" i="21"/>
  <c r="B40" i="21"/>
  <c r="B41" i="21"/>
  <c r="A8" i="20"/>
  <c r="F10" i="20"/>
  <c r="F13" i="20"/>
  <c r="F16" i="20"/>
  <c r="A23" i="20"/>
  <c r="B23" i="20"/>
  <c r="D23" i="20"/>
  <c r="I71" i="10"/>
  <c r="F34" i="20"/>
  <c r="F38" i="20"/>
  <c r="F39" i="20"/>
  <c r="F40" i="20"/>
  <c r="F41" i="20"/>
  <c r="I78" i="10"/>
  <c r="F42" i="20"/>
  <c r="F43" i="20"/>
  <c r="I81" i="10"/>
  <c r="F50" i="20"/>
  <c r="F51" i="20"/>
  <c r="I83" i="10"/>
  <c r="F52" i="20"/>
  <c r="I84" i="10"/>
  <c r="F53" i="20"/>
  <c r="I85" i="10"/>
  <c r="F54" i="20"/>
  <c r="I86" i="10"/>
  <c r="F55" i="20"/>
  <c r="I87" i="10"/>
  <c r="I89" i="10"/>
  <c r="F58" i="20"/>
  <c r="F48" i="20"/>
  <c r="F47" i="20"/>
  <c r="C52" i="20"/>
  <c r="C56" i="20"/>
  <c r="A62" i="20"/>
  <c r="B62" i="20"/>
  <c r="D62" i="20"/>
  <c r="F68" i="20"/>
  <c r="F69" i="20"/>
  <c r="F70" i="20"/>
  <c r="A75" i="20"/>
  <c r="B75" i="20"/>
  <c r="D75" i="20"/>
  <c r="A76" i="20"/>
  <c r="B76" i="20"/>
  <c r="D76" i="20"/>
  <c r="J10" i="2"/>
  <c r="H85" i="8"/>
  <c r="F81" i="20"/>
  <c r="J14" i="2"/>
  <c r="H89" i="8"/>
  <c r="F85" i="20"/>
  <c r="J18" i="2"/>
  <c r="H93" i="8"/>
  <c r="F89" i="20"/>
  <c r="F90" i="20"/>
  <c r="F92" i="20"/>
  <c r="F93" i="20"/>
  <c r="F98" i="20"/>
  <c r="F99" i="20"/>
  <c r="F100" i="20"/>
  <c r="F101" i="20"/>
  <c r="F102" i="20"/>
  <c r="F96" i="20"/>
  <c r="D108" i="20"/>
  <c r="D109" i="20"/>
  <c r="D110" i="20"/>
  <c r="D111" i="20"/>
  <c r="D112" i="20"/>
  <c r="D113" i="20"/>
  <c r="D114" i="20"/>
  <c r="D117" i="20"/>
  <c r="D118" i="20"/>
  <c r="D119" i="20"/>
  <c r="F120" i="20"/>
  <c r="D124" i="20"/>
  <c r="D125" i="20"/>
  <c r="D126" i="20"/>
  <c r="D127" i="20"/>
  <c r="D128" i="20"/>
  <c r="D129" i="20"/>
  <c r="D130" i="20"/>
  <c r="D131" i="20"/>
  <c r="D132" i="20"/>
  <c r="D134" i="20"/>
  <c r="D135" i="20"/>
  <c r="A5" i="19"/>
  <c r="C6" i="19"/>
  <c r="A7" i="19"/>
  <c r="D7" i="19"/>
  <c r="A8" i="19"/>
  <c r="A9" i="19"/>
  <c r="A10" i="19"/>
  <c r="A11" i="19"/>
  <c r="A17" i="19"/>
  <c r="A18" i="19"/>
  <c r="A19" i="19"/>
  <c r="A25" i="19"/>
  <c r="A26" i="19"/>
  <c r="A27" i="19"/>
  <c r="A28" i="19"/>
  <c r="A29" i="19"/>
  <c r="F31" i="19"/>
  <c r="F35" i="19"/>
  <c r="F36" i="19"/>
  <c r="L55" i="10"/>
  <c r="M55" i="10"/>
  <c r="N55" i="10"/>
  <c r="F41" i="19"/>
  <c r="O55" i="10"/>
  <c r="P55" i="10"/>
  <c r="F43" i="19"/>
  <c r="F50" i="19"/>
  <c r="I70" i="10"/>
  <c r="F47" i="19"/>
  <c r="A56" i="19"/>
  <c r="A57" i="19"/>
  <c r="A58" i="19"/>
  <c r="A62" i="19"/>
  <c r="A63" i="19"/>
  <c r="C63" i="19"/>
  <c r="A64" i="19"/>
  <c r="A65" i="19"/>
  <c r="A66" i="19"/>
  <c r="C66" i="19"/>
  <c r="A68" i="19"/>
  <c r="A69" i="19"/>
  <c r="A70" i="19"/>
  <c r="F73" i="19"/>
  <c r="A76" i="19"/>
  <c r="A78" i="19"/>
  <c r="F80" i="19"/>
  <c r="F81" i="19"/>
  <c r="C97" i="19"/>
  <c r="D97" i="19"/>
  <c r="A101" i="19"/>
  <c r="A102" i="19"/>
  <c r="D102" i="19"/>
  <c r="A104" i="19"/>
  <c r="C114" i="19"/>
  <c r="C115" i="19"/>
  <c r="C116" i="19"/>
  <c r="C117" i="19"/>
  <c r="C121" i="19"/>
  <c r="C122" i="19"/>
  <c r="C123" i="19"/>
  <c r="C124" i="19"/>
  <c r="C128" i="19"/>
  <c r="C129" i="19"/>
  <c r="A9" i="28"/>
  <c r="A24" i="28"/>
  <c r="B24" i="28"/>
  <c r="D24" i="28"/>
  <c r="I66" i="10"/>
  <c r="F26" i="28"/>
  <c r="I46" i="10"/>
  <c r="F30" i="28"/>
  <c r="F49" i="28"/>
  <c r="F50" i="28"/>
  <c r="F51" i="28"/>
  <c r="F52" i="28"/>
  <c r="F53" i="28"/>
  <c r="F54" i="28"/>
  <c r="F57" i="28"/>
  <c r="F47" i="28"/>
  <c r="F46" i="28"/>
  <c r="C55" i="28"/>
  <c r="A61" i="28"/>
  <c r="B61" i="28"/>
  <c r="D61" i="28"/>
  <c r="A74" i="28"/>
  <c r="B74" i="28"/>
  <c r="D74" i="28"/>
  <c r="A75" i="28"/>
  <c r="B75" i="28"/>
  <c r="D75" i="28"/>
  <c r="F97" i="28"/>
  <c r="F98" i="28"/>
  <c r="F99" i="28"/>
  <c r="F100" i="28"/>
  <c r="F101" i="28"/>
  <c r="F95" i="28"/>
  <c r="D107" i="28"/>
  <c r="D108" i="28"/>
  <c r="D109" i="28"/>
  <c r="D110" i="28"/>
  <c r="D111" i="28"/>
  <c r="D112" i="28"/>
  <c r="D113" i="28"/>
  <c r="D116" i="28"/>
  <c r="D117" i="28"/>
  <c r="D118" i="28"/>
  <c r="F119" i="28"/>
  <c r="D123" i="28"/>
  <c r="D124" i="28"/>
  <c r="D125" i="28"/>
  <c r="D126" i="28"/>
  <c r="D127" i="28"/>
  <c r="D128" i="28"/>
  <c r="D129" i="28"/>
  <c r="D130" i="28"/>
  <c r="D131" i="28"/>
  <c r="D133" i="28"/>
  <c r="D134" i="28"/>
  <c r="A6" i="26"/>
  <c r="C7" i="26"/>
  <c r="A8" i="26"/>
  <c r="D8" i="26"/>
  <c r="A9" i="26"/>
  <c r="A10" i="26"/>
  <c r="A11" i="26"/>
  <c r="A12" i="26"/>
  <c r="A18" i="26"/>
  <c r="A19" i="26"/>
  <c r="A20" i="26"/>
  <c r="A26" i="26"/>
  <c r="A27" i="26"/>
  <c r="A28" i="26"/>
  <c r="A29" i="26"/>
  <c r="A30" i="26"/>
  <c r="A36" i="26"/>
  <c r="I13" i="10"/>
  <c r="I15" i="10"/>
  <c r="I16" i="10"/>
  <c r="I17" i="10"/>
  <c r="J17" i="10"/>
  <c r="G29" i="9"/>
  <c r="G30" i="9"/>
  <c r="I72" i="10"/>
  <c r="K21" i="5"/>
  <c r="E6" i="4"/>
  <c r="E7" i="4"/>
  <c r="E8" i="4"/>
  <c r="E9" i="4"/>
  <c r="E10" i="4"/>
  <c r="G31" i="9"/>
  <c r="I12" i="10"/>
  <c r="G32" i="9"/>
  <c r="E8" i="8"/>
  <c r="E23" i="8"/>
  <c r="B30" i="11"/>
  <c r="F14" i="25"/>
  <c r="C8" i="5"/>
  <c r="P5" i="5"/>
  <c r="R5" i="5"/>
  <c r="Q5" i="5"/>
  <c r="S5" i="5"/>
  <c r="T5" i="5"/>
  <c r="K8" i="5"/>
  <c r="E52" i="10"/>
  <c r="J47" i="10"/>
  <c r="G50" i="9"/>
  <c r="I54" i="10"/>
  <c r="I45" i="10"/>
  <c r="I47" i="10"/>
  <c r="I48" i="10"/>
  <c r="I49" i="10"/>
  <c r="N50" i="10"/>
  <c r="M50" i="10"/>
  <c r="L50" i="10"/>
  <c r="K50" i="10"/>
  <c r="J50" i="10"/>
  <c r="I50" i="10"/>
  <c r="E51" i="10"/>
  <c r="I51" i="10"/>
  <c r="J55" i="10"/>
  <c r="G51" i="9"/>
  <c r="G52" i="9"/>
  <c r="G37" i="10"/>
  <c r="J37" i="10"/>
  <c r="G49" i="9"/>
  <c r="G63" i="9"/>
  <c r="G62" i="9"/>
  <c r="G64" i="9"/>
  <c r="G66" i="9"/>
  <c r="E17" i="8"/>
  <c r="E24" i="8"/>
  <c r="B31" i="11"/>
  <c r="F15" i="25"/>
  <c r="F16" i="25"/>
  <c r="E16" i="25"/>
  <c r="D32" i="2"/>
  <c r="D51" i="2"/>
  <c r="I69" i="5"/>
  <c r="D48" i="2"/>
  <c r="D52" i="2"/>
  <c r="D36" i="26"/>
  <c r="C67" i="26"/>
  <c r="A37" i="26"/>
  <c r="A39" i="26"/>
  <c r="A43" i="26"/>
  <c r="A44" i="26"/>
  <c r="C57" i="26"/>
  <c r="C58" i="26"/>
  <c r="C59" i="26"/>
  <c r="C60" i="26"/>
  <c r="C71" i="26"/>
  <c r="C72" i="26"/>
  <c r="E6" i="25"/>
  <c r="E7" i="25"/>
  <c r="C10" i="25"/>
  <c r="C11" i="25"/>
  <c r="C12" i="25"/>
  <c r="B16" i="29"/>
  <c r="B17" i="29"/>
  <c r="B20" i="29"/>
  <c r="B25" i="38"/>
  <c r="A20" i="27"/>
  <c r="A21" i="29"/>
  <c r="B21" i="29"/>
  <c r="B22" i="29"/>
  <c r="B27" i="38"/>
  <c r="A22" i="27"/>
  <c r="A23" i="29"/>
  <c r="B23" i="29"/>
  <c r="A24" i="38"/>
  <c r="A25" i="38"/>
  <c r="A26" i="38"/>
  <c r="A27" i="38"/>
  <c r="A2" i="22"/>
  <c r="H2" i="22"/>
  <c r="C3" i="22"/>
  <c r="F3" i="22"/>
  <c r="G3" i="22"/>
  <c r="C4" i="22"/>
  <c r="G7" i="22"/>
  <c r="H8" i="22"/>
  <c r="G9" i="22"/>
  <c r="H9" i="22"/>
  <c r="L3" i="10"/>
  <c r="R3" i="10"/>
  <c r="J8" i="10"/>
  <c r="G9" i="9"/>
  <c r="I25" i="10"/>
  <c r="H51" i="8"/>
  <c r="F18" i="20"/>
  <c r="F30" i="10"/>
  <c r="F31" i="10"/>
  <c r="F32" i="10"/>
  <c r="F34" i="10"/>
  <c r="F35" i="10"/>
  <c r="F36" i="10"/>
  <c r="F29" i="20"/>
  <c r="I62" i="10"/>
  <c r="H55" i="8"/>
  <c r="I67" i="10"/>
  <c r="H56" i="8"/>
  <c r="I68" i="10"/>
  <c r="H57" i="8"/>
  <c r="I69" i="10"/>
  <c r="H58" i="8"/>
  <c r="F33" i="20"/>
  <c r="F48" i="19"/>
  <c r="I73" i="10"/>
  <c r="F36" i="20"/>
  <c r="I74" i="10"/>
  <c r="H59" i="8"/>
  <c r="H63" i="8"/>
  <c r="I88" i="10"/>
  <c r="I94" i="10"/>
  <c r="I95" i="10"/>
  <c r="K76" i="8"/>
  <c r="I96" i="10"/>
  <c r="K77" i="8"/>
  <c r="L6" i="2"/>
  <c r="J7" i="2"/>
  <c r="J8" i="2"/>
  <c r="H83" i="8"/>
  <c r="F79" i="20"/>
  <c r="J9" i="2"/>
  <c r="H84" i="8"/>
  <c r="F80" i="20"/>
  <c r="J11" i="2"/>
  <c r="H86" i="8"/>
  <c r="F82" i="20"/>
  <c r="J12" i="2"/>
  <c r="H87" i="8"/>
  <c r="F83" i="20"/>
  <c r="J13" i="2"/>
  <c r="H88" i="8"/>
  <c r="F84" i="20"/>
  <c r="J15" i="2"/>
  <c r="H90" i="8"/>
  <c r="F86" i="20"/>
  <c r="J16" i="2"/>
  <c r="H91" i="8"/>
  <c r="F87" i="20"/>
  <c r="J17" i="2"/>
  <c r="H92" i="8"/>
  <c r="F88" i="20"/>
  <c r="J25" i="2"/>
  <c r="D29" i="2"/>
  <c r="G1" i="4"/>
  <c r="G62" i="5"/>
  <c r="G63" i="5"/>
  <c r="G64" i="5"/>
  <c r="D4" i="23"/>
  <c r="G42" i="9"/>
  <c r="G43" i="9"/>
  <c r="G11" i="9"/>
  <c r="E21" i="8"/>
  <c r="B28" i="11"/>
  <c r="F12" i="25"/>
  <c r="F2" i="8"/>
  <c r="E15" i="8"/>
  <c r="E16" i="8"/>
  <c r="E25" i="8"/>
  <c r="B43" i="11"/>
  <c r="F10" i="25"/>
  <c r="E26" i="8"/>
  <c r="B44" i="11"/>
  <c r="F11" i="25"/>
  <c r="F13" i="25"/>
  <c r="B13" i="11"/>
  <c r="D9" i="19"/>
  <c r="G113" i="9"/>
  <c r="I4" i="22"/>
  <c r="H4" i="11"/>
  <c r="C25" i="21"/>
  <c r="B18" i="11"/>
  <c r="D18" i="19"/>
  <c r="G85" i="9"/>
  <c r="E75" i="20"/>
  <c r="F97" i="20"/>
  <c r="F103" i="20"/>
  <c r="F94" i="28"/>
  <c r="F96" i="28"/>
  <c r="J24" i="2"/>
  <c r="C34" i="8"/>
  <c r="H82" i="8"/>
  <c r="F78" i="20"/>
  <c r="C65" i="26"/>
  <c r="C64" i="26"/>
  <c r="F48" i="28"/>
  <c r="F66" i="20"/>
  <c r="F49" i="20"/>
  <c r="F25" i="20"/>
  <c r="N49" i="7"/>
  <c r="N44" i="7"/>
  <c r="N50" i="7"/>
  <c r="J61" i="10"/>
  <c r="G72" i="9"/>
  <c r="G19" i="9"/>
  <c r="F133" i="19"/>
  <c r="F8" i="25"/>
  <c r="E8" i="25"/>
  <c r="F123" i="10"/>
  <c r="B26" i="38"/>
  <c r="A21" i="27"/>
  <c r="A22" i="29"/>
  <c r="D18" i="26"/>
  <c r="K75" i="8"/>
  <c r="J100" i="10"/>
  <c r="G79" i="9"/>
  <c r="C66" i="26"/>
  <c r="M4" i="23"/>
  <c r="B12" i="11"/>
  <c r="D8" i="19"/>
  <c r="B14" i="11"/>
  <c r="D10" i="19"/>
  <c r="F65" i="20"/>
  <c r="F35" i="20"/>
  <c r="F28" i="20"/>
  <c r="H5" i="11"/>
  <c r="C26" i="21"/>
  <c r="B19" i="11"/>
  <c r="D19" i="19"/>
  <c r="G86" i="9"/>
  <c r="E76" i="20"/>
  <c r="F132" i="19"/>
  <c r="F130" i="19"/>
  <c r="G12" i="9"/>
  <c r="D6" i="8"/>
  <c r="G21" i="9"/>
  <c r="G22" i="9"/>
  <c r="D7" i="8"/>
  <c r="F27" i="20"/>
  <c r="F67" i="20"/>
  <c r="F37" i="20"/>
  <c r="F26" i="20"/>
  <c r="K49" i="7"/>
  <c r="H45" i="8"/>
  <c r="F12" i="20"/>
  <c r="C50" i="28"/>
  <c r="AN45" i="7"/>
  <c r="K45" i="7"/>
  <c r="AN44" i="7"/>
  <c r="K44" i="7"/>
  <c r="AN43" i="7"/>
  <c r="J25" i="9"/>
  <c r="E24" i="10"/>
  <c r="I24" i="10"/>
  <c r="H50" i="8"/>
  <c r="F17" i="20"/>
  <c r="E22" i="10"/>
  <c r="I22" i="10"/>
  <c r="H95" i="8"/>
  <c r="F91" i="20"/>
  <c r="AB4" i="23"/>
  <c r="H47" i="8"/>
  <c r="F14" i="20"/>
  <c r="H48" i="8"/>
  <c r="F15" i="20"/>
  <c r="F19" i="20"/>
  <c r="B17" i="11"/>
  <c r="H3" i="11"/>
  <c r="C24" i="21"/>
  <c r="G67" i="9"/>
  <c r="E5" i="25"/>
  <c r="F5" i="25"/>
  <c r="J25" i="10"/>
  <c r="G37" i="9"/>
  <c r="E32" i="37"/>
  <c r="E104" i="10"/>
  <c r="I104" i="10"/>
  <c r="E29" i="37"/>
  <c r="E101" i="10"/>
  <c r="I101" i="10"/>
  <c r="B46" i="11"/>
  <c r="D101" i="19"/>
  <c r="E13" i="25"/>
  <c r="F121" i="10"/>
  <c r="F125" i="10"/>
  <c r="B21" i="38"/>
  <c r="F4" i="25"/>
  <c r="E4" i="25"/>
  <c r="C31" i="4"/>
  <c r="F46" i="26"/>
  <c r="F47" i="26"/>
  <c r="F48" i="26"/>
  <c r="B15" i="11"/>
  <c r="D11" i="19"/>
  <c r="F94" i="20"/>
  <c r="K43" i="7"/>
  <c r="AO55" i="7"/>
  <c r="F64" i="20"/>
  <c r="F71" i="20"/>
  <c r="C31" i="8"/>
  <c r="H9" i="11"/>
  <c r="C41" i="21"/>
  <c r="E62" i="20"/>
  <c r="G8" i="22"/>
  <c r="D132" i="28"/>
  <c r="D133" i="20"/>
  <c r="G44" i="9"/>
  <c r="E22" i="8"/>
  <c r="B42" i="11"/>
  <c r="AS8" i="23"/>
  <c r="A16" i="27"/>
  <c r="A17" i="29"/>
  <c r="C29" i="8"/>
  <c r="H7" i="11"/>
  <c r="C39" i="21"/>
  <c r="K37" i="9"/>
  <c r="E8" i="20"/>
  <c r="B38" i="11"/>
  <c r="D76" i="19"/>
  <c r="E18" i="8"/>
  <c r="F126" i="10"/>
  <c r="B24" i="38"/>
  <c r="A19" i="27"/>
  <c r="A20" i="29"/>
  <c r="E11" i="8"/>
  <c r="E10" i="8"/>
  <c r="J79" i="10"/>
  <c r="G74" i="9"/>
  <c r="F45" i="20"/>
  <c r="F44" i="20"/>
  <c r="F46" i="20"/>
  <c r="K13" i="8"/>
  <c r="C32" i="21"/>
  <c r="AA4" i="23"/>
  <c r="E13" i="8"/>
  <c r="J22" i="8"/>
  <c r="E12" i="8"/>
  <c r="I65" i="9"/>
  <c r="D64" i="19"/>
  <c r="H8" i="11"/>
  <c r="C40" i="21"/>
  <c r="C30" i="8"/>
  <c r="E23" i="20"/>
  <c r="E14" i="8"/>
  <c r="G65" i="9"/>
  <c r="Y4" i="23"/>
  <c r="D57" i="19"/>
  <c r="U4" i="23"/>
  <c r="S4" i="23"/>
  <c r="B22" i="11"/>
  <c r="D26" i="19"/>
  <c r="G13" i="22"/>
  <c r="X4" i="23"/>
  <c r="D58" i="19"/>
  <c r="V4" i="23"/>
  <c r="D56" i="19"/>
  <c r="K16" i="8"/>
  <c r="C35" i="21"/>
  <c r="B5" i="11"/>
  <c r="G91" i="9"/>
  <c r="B24" i="11"/>
  <c r="W4" i="23"/>
  <c r="C30" i="21"/>
  <c r="D62" i="19"/>
  <c r="F63" i="19"/>
  <c r="K24" i="8"/>
  <c r="J21" i="8"/>
  <c r="Z4" i="23"/>
  <c r="K14" i="8"/>
  <c r="C33" i="21"/>
  <c r="T4" i="23"/>
  <c r="B23" i="11"/>
  <c r="D27" i="19"/>
  <c r="G14" i="22"/>
  <c r="B21" i="11"/>
  <c r="D25" i="19"/>
  <c r="G12" i="22"/>
  <c r="R4" i="23"/>
  <c r="D69" i="19"/>
  <c r="F69" i="19"/>
  <c r="D70" i="19"/>
  <c r="F70" i="19"/>
  <c r="D68" i="19"/>
  <c r="F68" i="19"/>
  <c r="K12" i="8"/>
  <c r="C31" i="21"/>
  <c r="B6" i="11"/>
  <c r="B25" i="11"/>
  <c r="D29" i="19"/>
  <c r="D28" i="19"/>
  <c r="B4" i="11"/>
  <c r="K15" i="8"/>
  <c r="C34" i="21"/>
  <c r="C36" i="24"/>
  <c r="J91" i="9"/>
  <c r="D65" i="19"/>
  <c r="F86" i="19"/>
  <c r="F90" i="19"/>
  <c r="F94" i="19"/>
  <c r="F87" i="19"/>
  <c r="F88" i="19"/>
  <c r="F92" i="19"/>
  <c r="F96" i="19"/>
  <c r="F91" i="19"/>
  <c r="F95" i="19"/>
  <c r="F85" i="19"/>
  <c r="F89" i="19"/>
  <c r="F93" i="19"/>
  <c r="F49" i="26"/>
  <c r="F50" i="26"/>
  <c r="F51" i="26"/>
  <c r="F52" i="26"/>
  <c r="F66" i="19"/>
  <c r="D17" i="19"/>
  <c r="AS7" i="23"/>
  <c r="AR4" i="23"/>
  <c r="B20" i="38"/>
  <c r="A15" i="27"/>
  <c r="A16" i="29"/>
  <c r="F97" i="19"/>
  <c r="F11" i="28"/>
  <c r="F12" i="28"/>
  <c r="F13" i="28"/>
  <c r="F14" i="28"/>
  <c r="F15" i="28"/>
  <c r="F16" i="28"/>
  <c r="F17" i="28"/>
  <c r="F18" i="28"/>
  <c r="F19" i="28"/>
  <c r="F20" i="28"/>
  <c r="E24" i="28"/>
  <c r="F29" i="28"/>
  <c r="F36" i="28"/>
  <c r="F40" i="28"/>
  <c r="F44" i="28"/>
  <c r="E61" i="28"/>
  <c r="F67" i="28"/>
  <c r="E74" i="28"/>
  <c r="E75" i="28"/>
  <c r="F80" i="28"/>
  <c r="F84" i="28"/>
  <c r="F88" i="28"/>
  <c r="F92" i="28"/>
  <c r="D10" i="26"/>
  <c r="D12" i="26"/>
  <c r="F68" i="28"/>
  <c r="D20" i="26"/>
  <c r="D29" i="26"/>
  <c r="F37" i="28"/>
  <c r="F77" i="28"/>
  <c r="F89" i="28"/>
  <c r="D27" i="26"/>
  <c r="F27" i="28"/>
  <c r="F34" i="28"/>
  <c r="F38" i="28"/>
  <c r="F42" i="28"/>
  <c r="F65" i="28"/>
  <c r="F69" i="28"/>
  <c r="F78" i="28"/>
  <c r="F82" i="28"/>
  <c r="F86" i="28"/>
  <c r="F90" i="28"/>
  <c r="D9" i="26"/>
  <c r="D11" i="26"/>
  <c r="D43" i="26"/>
  <c r="F41" i="28"/>
  <c r="F64" i="28"/>
  <c r="F81" i="28"/>
  <c r="F85" i="28"/>
  <c r="E9" i="28"/>
  <c r="F28" i="28"/>
  <c r="F35" i="28"/>
  <c r="F39" i="28"/>
  <c r="F43" i="28"/>
  <c r="F66" i="28"/>
  <c r="F79" i="28"/>
  <c r="F83" i="28"/>
  <c r="F87" i="28"/>
  <c r="F91" i="28"/>
  <c r="D19" i="26"/>
  <c r="D26" i="26"/>
  <c r="D28" i="26"/>
  <c r="D30" i="26"/>
  <c r="D37" i="26"/>
  <c r="F45" i="28"/>
  <c r="F70" i="28"/>
  <c r="F63" i="28"/>
  <c r="F93"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Wim Haenen</author>
    <author>ect</author>
  </authors>
  <commentList>
    <comment ref="A3" authorId="0" shapeId="0" xr:uid="{00000000-0006-0000-0100-000001000000}">
      <text>
        <r>
          <rPr>
            <sz val="8"/>
            <color indexed="81"/>
            <rFont val="Tahoma"/>
            <family val="2"/>
          </rPr>
          <t>De naam van de FUSIEGEMEENTE, niet van de deelgemeente.
Indien U toch de naam van de DEELGEMEENTE ingeeft, moet de naam van de fusiegemeente er ook bij staan.</t>
        </r>
      </text>
    </comment>
    <comment ref="A4" authorId="0" shapeId="0" xr:uid="{00000000-0006-0000-0100-000002000000}">
      <text>
        <r>
          <rPr>
            <sz val="8"/>
            <color indexed="81"/>
            <rFont val="Tahoma"/>
            <family val="2"/>
          </rPr>
          <t xml:space="preserve">De datum wordt best ingevuld onder de vorm </t>
        </r>
        <r>
          <rPr>
            <b/>
            <sz val="8"/>
            <color indexed="81"/>
            <rFont val="Tahoma"/>
            <family val="2"/>
          </rPr>
          <t>DD</t>
        </r>
        <r>
          <rPr>
            <b/>
            <sz val="12"/>
            <color indexed="81"/>
            <rFont val="Tahoma"/>
            <family val="2"/>
          </rPr>
          <t>/</t>
        </r>
        <r>
          <rPr>
            <b/>
            <sz val="8"/>
            <color indexed="81"/>
            <rFont val="Tahoma"/>
            <family val="2"/>
          </rPr>
          <t>MM</t>
        </r>
        <r>
          <rPr>
            <b/>
            <sz val="12"/>
            <color indexed="81"/>
            <rFont val="Tahoma"/>
            <family val="2"/>
          </rPr>
          <t>/</t>
        </r>
        <r>
          <rPr>
            <b/>
            <sz val="8"/>
            <color indexed="81"/>
            <rFont val="Tahoma"/>
            <family val="2"/>
          </rPr>
          <t>YYYY</t>
        </r>
        <r>
          <rPr>
            <sz val="8"/>
            <color indexed="81"/>
            <rFont val="Tahoma"/>
            <family val="2"/>
          </rPr>
          <t xml:space="preserve">.  De datum wordt verder in het rapport overgenomen
</t>
        </r>
      </text>
    </comment>
    <comment ref="A5" authorId="0" shapeId="0" xr:uid="{00000000-0006-0000-0100-000003000000}">
      <text>
        <r>
          <rPr>
            <sz val="9"/>
            <color indexed="81"/>
            <rFont val="Tahoma"/>
            <family val="2"/>
          </rPr>
          <t>De naam die hier aan de manifestatie gegeven wordt, wordt verder meegenomen in de rapportering ervan</t>
        </r>
        <r>
          <rPr>
            <sz val="8"/>
            <color indexed="81"/>
            <rFont val="Tahoma"/>
            <family val="2"/>
          </rPr>
          <t xml:space="preserve">
</t>
        </r>
      </text>
    </comment>
    <comment ref="A6" authorId="0" shapeId="0" xr:uid="{00000000-0006-0000-0100-000004000000}">
      <text>
        <r>
          <rPr>
            <sz val="9"/>
            <color indexed="81"/>
            <rFont val="Tahoma"/>
            <family val="2"/>
          </rPr>
          <t>U kan een keuze maken uit de alfabetische lijst.  Wanneer U de juiste manifestatie niet vindt, kan U de optie "</t>
        </r>
        <r>
          <rPr>
            <i/>
            <sz val="9"/>
            <color indexed="81"/>
            <rFont val="Tahoma"/>
            <family val="2"/>
          </rPr>
          <t>ALLE ANDERE EVENEMENTEN</t>
        </r>
        <r>
          <rPr>
            <sz val="9"/>
            <color indexed="81"/>
            <rFont val="Tahoma"/>
            <family val="2"/>
          </rPr>
          <t>" invullen.
De lijst van evenementen wordt regelmatig aangepast op basis van de meldingen</t>
        </r>
      </text>
    </comment>
    <comment ref="A7" authorId="0" shapeId="0" xr:uid="{00000000-0006-0000-0100-000005000000}">
      <text>
        <r>
          <rPr>
            <sz val="8"/>
            <color indexed="81"/>
            <rFont val="Tahoma"/>
            <family val="2"/>
          </rPr>
          <t>Het adres is het adres van de ingang.  Wanneer er meerdere ingangen zijn, moet het adres van de hoofdingang gegeven worden.</t>
        </r>
      </text>
    </comment>
    <comment ref="A8" authorId="1" shapeId="0" xr:uid="{00000000-0006-0000-0100-000006000000}">
      <text>
        <r>
          <rPr>
            <sz val="8"/>
            <color indexed="81"/>
            <rFont val="Tahoma"/>
            <family val="2"/>
          </rPr>
          <t xml:space="preserve">De datum wordt best ingevuld onder de vorm </t>
        </r>
        <r>
          <rPr>
            <b/>
            <sz val="8"/>
            <color indexed="81"/>
            <rFont val="Tahoma"/>
            <family val="2"/>
          </rPr>
          <t>DD</t>
        </r>
        <r>
          <rPr>
            <b/>
            <sz val="12"/>
            <color indexed="81"/>
            <rFont val="Tahoma"/>
            <family val="2"/>
          </rPr>
          <t>/</t>
        </r>
        <r>
          <rPr>
            <b/>
            <sz val="8"/>
            <color indexed="81"/>
            <rFont val="Tahoma"/>
            <family val="2"/>
          </rPr>
          <t>MM</t>
        </r>
        <r>
          <rPr>
            <b/>
            <sz val="12"/>
            <color indexed="81"/>
            <rFont val="Tahoma"/>
            <family val="2"/>
          </rPr>
          <t>/</t>
        </r>
        <r>
          <rPr>
            <b/>
            <sz val="8"/>
            <color indexed="81"/>
            <rFont val="Tahoma"/>
            <family val="2"/>
          </rPr>
          <t>YYYY</t>
        </r>
        <r>
          <rPr>
            <sz val="8"/>
            <color indexed="81"/>
            <rFont val="Tahoma"/>
            <family val="2"/>
          </rPr>
          <t>.  De datum wordt verder in het rapport overgenomen</t>
        </r>
      </text>
    </comment>
    <comment ref="E8" authorId="1" shapeId="0" xr:uid="{00000000-0006-0000-0100-000007000000}">
      <text>
        <r>
          <rPr>
            <sz val="8"/>
            <color indexed="81"/>
            <rFont val="Tahoma"/>
            <family val="2"/>
          </rPr>
          <t xml:space="preserve">Het uur wordt best ingevuld onder de vorm </t>
        </r>
        <r>
          <rPr>
            <b/>
            <sz val="12"/>
            <color indexed="81"/>
            <rFont val="Tahoma"/>
            <family val="2"/>
          </rPr>
          <t>uu:mm</t>
        </r>
        <r>
          <rPr>
            <sz val="12"/>
            <color indexed="81"/>
            <rFont val="Tahoma"/>
            <family val="2"/>
          </rPr>
          <t xml:space="preserve">. </t>
        </r>
      </text>
    </comment>
    <comment ref="A9" authorId="1" shapeId="0" xr:uid="{00000000-0006-0000-0100-000008000000}">
      <text>
        <r>
          <rPr>
            <sz val="8"/>
            <color indexed="81"/>
            <rFont val="Tahoma"/>
            <family val="2"/>
          </rPr>
          <t xml:space="preserve">De datum wordt best ingevuld onder de vorm </t>
        </r>
        <r>
          <rPr>
            <b/>
            <sz val="8"/>
            <color indexed="81"/>
            <rFont val="Tahoma"/>
            <family val="2"/>
          </rPr>
          <t>DD</t>
        </r>
        <r>
          <rPr>
            <b/>
            <sz val="12"/>
            <color indexed="81"/>
            <rFont val="Tahoma"/>
            <family val="2"/>
          </rPr>
          <t>/</t>
        </r>
        <r>
          <rPr>
            <b/>
            <sz val="8"/>
            <color indexed="81"/>
            <rFont val="Tahoma"/>
            <family val="2"/>
          </rPr>
          <t>MM</t>
        </r>
        <r>
          <rPr>
            <b/>
            <sz val="12"/>
            <color indexed="81"/>
            <rFont val="Tahoma"/>
            <family val="2"/>
          </rPr>
          <t>/</t>
        </r>
        <r>
          <rPr>
            <b/>
            <sz val="8"/>
            <color indexed="81"/>
            <rFont val="Tahoma"/>
            <family val="2"/>
          </rPr>
          <t>YYYY</t>
        </r>
        <r>
          <rPr>
            <sz val="8"/>
            <color indexed="81"/>
            <rFont val="Tahoma"/>
            <family val="2"/>
          </rPr>
          <t>.  De datum wordt verder in het rapport overgenomen</t>
        </r>
        <r>
          <rPr>
            <sz val="8"/>
            <color indexed="81"/>
            <rFont val="Tahoma"/>
            <family val="2"/>
          </rPr>
          <t xml:space="preserve">
</t>
        </r>
      </text>
    </comment>
    <comment ref="E9" authorId="1" shapeId="0" xr:uid="{00000000-0006-0000-0100-000009000000}">
      <text>
        <r>
          <rPr>
            <sz val="8"/>
            <color indexed="81"/>
            <rFont val="Tahoma"/>
            <family val="2"/>
          </rPr>
          <t xml:space="preserve">Het uur wordt best ingevuld onder de vorm </t>
        </r>
        <r>
          <rPr>
            <b/>
            <sz val="12"/>
            <color indexed="81"/>
            <rFont val="Tahoma"/>
            <family val="2"/>
          </rPr>
          <t>uu:mm</t>
        </r>
        <r>
          <rPr>
            <sz val="12"/>
            <color indexed="81"/>
            <rFont val="Tahoma"/>
            <family val="2"/>
          </rPr>
          <t xml:space="preserve">. </t>
        </r>
      </text>
    </comment>
    <comment ref="K9" authorId="1" shapeId="0" xr:uid="{00000000-0006-0000-0100-00000A000000}">
      <text>
        <r>
          <rPr>
            <sz val="8"/>
            <color indexed="81"/>
            <rFont val="Tahoma"/>
            <family val="2"/>
          </rPr>
          <t xml:space="preserve">Indien de manifestatie over meerdere dagen plaaatsvind met tijden waarin deze gesloten is gelieve dan het werkelijk aantal uren dat de manifestatie open is voor publiek in te vullen (of het gedeelte waarvoor de risico-analyse aangevraagd wordt) in
</t>
        </r>
      </text>
    </comment>
    <comment ref="A12" authorId="0" shapeId="0" xr:uid="{00000000-0006-0000-0100-00000B000000}">
      <text>
        <r>
          <rPr>
            <sz val="9"/>
            <color indexed="81"/>
            <rFont val="Tahoma"/>
            <family val="2"/>
          </rPr>
          <t xml:space="preserve">Het is mogelijk om een manifestatie op te delen in meerdere deelmanifestaties.  Dit is raadzaam wanneer elk van deze deelmanifestaties op één van volgende elementen sterk afwijkend zijn :  
   1. Aantal mensen verschilt &gt; 20 % voor manifestaties
   2. Deelevenementen zijn totaal verschillend (met duidelijk andere risico's als gevolg)
   3. Er is geen overlapping van de verschillende deelmanifestaties (een overlapping voor zowel de plaats als de tijd)
De opsplitisng is niet verplicht, maar aan te raden omdat er anders voor de "rustiger" gedeelten van de manifestatie een teveel aan medische middelen staat.  Indien U besluit tot meerdere deelmanifestaties, moet er een risico-analyse zijn voor elk van deze manifestaties.
</t>
        </r>
        <r>
          <rPr>
            <b/>
            <u/>
            <sz val="9"/>
            <color indexed="81"/>
            <rFont val="Tahoma"/>
            <family val="2"/>
          </rPr>
          <t>BELANGRIJK</t>
        </r>
        <r>
          <rPr>
            <sz val="9"/>
            <color indexed="81"/>
            <rFont val="Tahoma"/>
            <family val="2"/>
          </rPr>
          <t xml:space="preserve"> : Een opsplitisng in deelmanifestaties is maar mogelijk wanneer de duur van de manifestatie de 8 uur overschrijdt !!</t>
        </r>
      </text>
    </comment>
    <comment ref="D14" authorId="0" shapeId="0" xr:uid="{00000000-0006-0000-0100-00000C000000}">
      <text>
        <r>
          <rPr>
            <sz val="9"/>
            <color indexed="81"/>
            <rFont val="Tahoma"/>
            <family val="2"/>
          </rPr>
          <t xml:space="preserve">Dit is het aantal bezoekers dat de organisator verwacht, dus het geschatte aantal mensen dat naar de manifestatie komt kijken
</t>
        </r>
        <r>
          <rPr>
            <sz val="8"/>
            <color indexed="81"/>
            <rFont val="Tahoma"/>
            <family val="2"/>
          </rPr>
          <t xml:space="preserve">
</t>
        </r>
      </text>
    </comment>
    <comment ref="D15" authorId="0" shapeId="0" xr:uid="{00000000-0006-0000-0100-00000D000000}">
      <text>
        <r>
          <rPr>
            <sz val="9"/>
            <color indexed="81"/>
            <rFont val="Tahoma"/>
            <family val="2"/>
          </rPr>
          <t xml:space="preserve">Dit is het geschat aantal mensen die actief deelnemen aan de manifestatie, dus die het mogelijk maken dat andere kunnen komen kijken.  Dit zijn bijvoorbeeld de artiesten bij een concert, of de sportlui bij een wedstrijd
</t>
        </r>
        <r>
          <rPr>
            <b/>
            <u/>
            <sz val="9"/>
            <color indexed="81"/>
            <rFont val="Tahoma"/>
            <family val="2"/>
          </rPr>
          <t>OPMERKING</t>
        </r>
        <r>
          <rPr>
            <sz val="9"/>
            <color indexed="81"/>
            <rFont val="Tahoma"/>
            <family val="2"/>
          </rPr>
          <t xml:space="preserve"> : hier wordt standaard "0" ingevdul, tenzij U een ander getal wil invullen (zie invulregel)</t>
        </r>
      </text>
    </comment>
    <comment ref="K15" authorId="0" shapeId="0" xr:uid="{00000000-0006-0000-0100-00000E000000}">
      <text>
        <r>
          <rPr>
            <b/>
            <sz val="8"/>
            <color indexed="12"/>
            <rFont val="Tahoma"/>
            <family val="2"/>
          </rPr>
          <t>Indien dit aantal niet gekend is, mag het op "0" blijven staan</t>
        </r>
      </text>
    </comment>
    <comment ref="D16" authorId="0" shapeId="0" xr:uid="{00000000-0006-0000-0100-00000F000000}">
      <text>
        <r>
          <rPr>
            <sz val="9"/>
            <color indexed="81"/>
            <rFont val="Tahoma"/>
            <family val="2"/>
          </rPr>
          <t xml:space="preserve">Dit is een schatting van het aantal mensen dat door de organisator ingezet wordt om de manifestatie zonder problemen te kunnen laten doorgaan.  Het gaat hier bijvoorbeeld om parkingwachters, begeleiding van VIP's, mensen die een cateringkraam open houden, ...
De hulpverleners die door brandweer, politie of medische diensten ingezet worden horen hier NIET bij, zij worden in het volgende veld gerekend (zij vallen onder punt d).  Ook de deelnemers aan de manifestatie vallen hier niet onder (zij werden al meegerekend onder punt b).
</t>
        </r>
        <r>
          <rPr>
            <b/>
            <u/>
            <sz val="9"/>
            <color indexed="81"/>
            <rFont val="Tahoma"/>
            <family val="2"/>
          </rPr>
          <t xml:space="preserve">OPMERKING </t>
        </r>
        <r>
          <rPr>
            <sz val="9"/>
            <color indexed="81"/>
            <rFont val="Tahoma"/>
            <family val="2"/>
          </rPr>
          <t xml:space="preserve">: hier wordt standaard "0" ingevdul, tenzij U een ander getal wil invullen (zie invulregel)
</t>
        </r>
      </text>
    </comment>
    <comment ref="K16" authorId="0" shapeId="0" xr:uid="{00000000-0006-0000-0100-000010000000}">
      <text>
        <r>
          <rPr>
            <b/>
            <sz val="8"/>
            <color indexed="12"/>
            <rFont val="Tahoma"/>
            <family val="2"/>
          </rPr>
          <t>Indien het aantal niet gekend is, mag dit op "0" blijven staan</t>
        </r>
        <r>
          <rPr>
            <sz val="8"/>
            <color indexed="81"/>
            <rFont val="Tahoma"/>
            <family val="2"/>
          </rPr>
          <t xml:space="preserve">
</t>
        </r>
      </text>
    </comment>
    <comment ref="D17" authorId="0" shapeId="0" xr:uid="{00000000-0006-0000-0100-000011000000}">
      <text>
        <r>
          <rPr>
            <sz val="9"/>
            <color indexed="81"/>
            <rFont val="Tahoma"/>
            <family val="2"/>
          </rPr>
          <t xml:space="preserve">Dit is het aantal mensen die binnen de isolatieperimeter wonen.  De medische voorzieningen gelden immers evenzeer voor deze mensen als voor de bezoekers.  De medische hulpverlening is in dit geval immers territoriaal en afgebakend door de perimeter.  Het aantal moet opgevraagd worden bij de gemeente waar de manifestatie doorgaat.  
</t>
        </r>
        <r>
          <rPr>
            <b/>
            <u/>
            <sz val="9"/>
            <color indexed="81"/>
            <rFont val="Tahoma"/>
            <family val="2"/>
          </rPr>
          <t>INVULTIP</t>
        </r>
        <r>
          <rPr>
            <sz val="9"/>
            <color indexed="81"/>
            <rFont val="Tahoma"/>
            <family val="2"/>
          </rPr>
          <t xml:space="preserve"> : Wanneer niemand binnen de isolatieperimeter woont, is dit aantal 0</t>
        </r>
      </text>
    </comment>
    <comment ref="D18" authorId="0" shapeId="0" xr:uid="{00000000-0006-0000-0100-000012000000}">
      <text>
        <r>
          <rPr>
            <sz val="9"/>
            <color indexed="81"/>
            <rFont val="Tahoma"/>
            <family val="2"/>
          </rPr>
          <t xml:space="preserve">Om te vermijden dat een populatie dubbel geteld wordt, wordt rekening gehouden met een shift.  Dit is enkel van toepassing voor grote manifestaties waarbij de reguliere middelen ingezet worden.  De shift voorkomt een irrealistische versterking van de bestaande reguliere middelen om een manifestatie op te vangen.
Dit moet alleen ingevuld worden wanneer men daadwerkelijk weet heeft van een shift van de bevolking.  
</t>
        </r>
        <r>
          <rPr>
            <b/>
            <u/>
            <sz val="9"/>
            <color indexed="81"/>
            <rFont val="Tahoma"/>
            <family val="2"/>
          </rPr>
          <t xml:space="preserve">INVULTIP </t>
        </r>
        <r>
          <rPr>
            <sz val="9"/>
            <color indexed="81"/>
            <rFont val="Tahoma"/>
            <family val="2"/>
          </rPr>
          <t xml:space="preserve">: Bij twijfel is dit aantal 0.  
</t>
        </r>
        <r>
          <rPr>
            <b/>
            <u/>
            <sz val="9"/>
            <color indexed="81"/>
            <rFont val="Tahoma"/>
            <family val="2"/>
          </rPr>
          <t>VOORBEELD</t>
        </r>
        <r>
          <rPr>
            <sz val="9"/>
            <color indexed="81"/>
            <rFont val="Tahoma"/>
            <family val="2"/>
          </rPr>
          <t xml:space="preserve"> : Een voorbeeld is een jaarlijkse optocht in een stad, waar 40 % van de toeschouwers uit de stad zelf komen. </t>
        </r>
      </text>
    </comment>
    <comment ref="K18" authorId="0" shapeId="0" xr:uid="{00000000-0006-0000-0100-000013000000}">
      <text>
        <r>
          <rPr>
            <b/>
            <sz val="8"/>
            <color indexed="12"/>
            <rFont val="Tahoma"/>
            <family val="2"/>
          </rPr>
          <t>Indien er geen aantal gekend is, mag dit aantal op "0" blijven staan</t>
        </r>
      </text>
    </comment>
    <comment ref="D20" authorId="0" shapeId="0" xr:uid="{00000000-0006-0000-0100-000014000000}">
      <text>
        <r>
          <rPr>
            <sz val="9"/>
            <color indexed="81"/>
            <rFont val="Tahoma"/>
            <family val="2"/>
          </rPr>
          <t xml:space="preserve">Vaak zijn er manifestaties waarbij een groot aantal mensen verwacht wordt, doch waarbij al deze mensen niet tegelijk aanwezig zijn, bijvoorbeeld een wekelijkse markt.  In dit veld moet een cijfer ingevuld worden tussen 0 en 100 dat weergeeft hoeveel % van de verwachte populatie maximaal tegelijk aanwezig is op de manifestatie.  Standaard 
staat dit op 100 %
</t>
        </r>
        <r>
          <rPr>
            <b/>
            <u/>
            <sz val="9"/>
            <color indexed="81"/>
            <rFont val="Tahoma"/>
            <family val="2"/>
          </rPr>
          <t>VOORBEELD</t>
        </r>
        <r>
          <rPr>
            <sz val="9"/>
            <color indexed="81"/>
            <rFont val="Tahoma"/>
            <family val="2"/>
          </rPr>
          <t xml:space="preserve"> : Wanneer een markt 10.000 mensen trekt  zal deze markt in realiteit geen 10.000 mensen tegelijkertijd trekken, maar zullen in realiteit bijvoorbeeld maar maximaal 4.000 mensen tegelijkertijd aanwezig zijn.  Immers, de ene mens komt bij het begin van de markt en de andere komt wanneer deze al een tijdje bezig is.  In dat geval moet hier 40% ingevuld worden, en zal de berekening van 4.000 mensen uitgaan en niet van 10.000 mensen. </t>
        </r>
      </text>
    </comment>
    <comment ref="D21" authorId="0" shapeId="0" xr:uid="{00000000-0006-0000-0100-000015000000}">
      <text>
        <r>
          <rPr>
            <sz val="8"/>
            <color indexed="81"/>
            <rFont val="Tahoma"/>
            <family val="2"/>
          </rPr>
          <t>Het totaal aantal mensen at risk is de som van alle vorige aantallen, aangezien de medische diensten voor al deze mensen in eerste instantie zal moeten optreden</t>
        </r>
      </text>
    </comment>
    <comment ref="K21" authorId="0" shapeId="0" xr:uid="{00000000-0006-0000-0100-000016000000}">
      <text>
        <r>
          <rPr>
            <u/>
            <sz val="9"/>
            <color indexed="10"/>
            <rFont val="Tahoma"/>
            <family val="2"/>
          </rPr>
          <t>Berekeningswijze</t>
        </r>
        <r>
          <rPr>
            <sz val="9"/>
            <color indexed="10"/>
            <rFont val="Tahoma"/>
            <family val="2"/>
          </rPr>
          <t xml:space="preserve"> :
1. Optellen van de populaties, weergegeven van a tot e,
2. Aftrekken van de shift aan populatie (vak f)
3. Resultaat vermenigvuldigen met het percentage dat tegelijk aanwezig is (vak g).  </t>
        </r>
      </text>
    </comment>
    <comment ref="A22" authorId="0" shapeId="0" xr:uid="{00000000-0006-0000-0100-000017000000}">
      <text>
        <r>
          <rPr>
            <sz val="8"/>
            <color indexed="81"/>
            <rFont val="Tahoma"/>
            <family val="2"/>
          </rPr>
          <t>De aanwezigheid van een camping bij een maniestatie zorgt voor een aantal extra problemen, vooral wat betreft aanwezigheid van specifieke voorzieningen.  Wanneer hier NEEN ingevuld wordt verder bij een aantal vragen automatisch "niet van toepassing" ingevuld</t>
        </r>
      </text>
    </comment>
    <comment ref="B31" authorId="0" shapeId="0" xr:uid="{00000000-0006-0000-0100-000018000000}">
      <text>
        <r>
          <rPr>
            <sz val="8"/>
            <color indexed="81"/>
            <rFont val="Tahoma"/>
            <family val="2"/>
          </rPr>
          <t xml:space="preserve">GSM-nummer waarop de </t>
        </r>
        <r>
          <rPr>
            <b/>
            <u/>
            <sz val="8"/>
            <color indexed="81"/>
            <rFont val="Tahoma"/>
            <family val="2"/>
          </rPr>
          <t>organisator</t>
        </r>
        <r>
          <rPr>
            <sz val="8"/>
            <color indexed="81"/>
            <rFont val="Tahoma"/>
            <family val="2"/>
          </rPr>
          <t xml:space="preserve"> en/of de verantwoordelijke tijdens de manifestatie te bereiken is</t>
        </r>
      </text>
    </comment>
    <comment ref="A33" authorId="0" shapeId="0" xr:uid="{00000000-0006-0000-0100-000019000000}">
      <text>
        <r>
          <rPr>
            <sz val="9"/>
            <color indexed="81"/>
            <rFont val="Tahoma"/>
            <family val="2"/>
          </rPr>
          <t>In te vullen voor zover er een verantwoordelijke aangeduid werd.  Het is mogelijk dat dit uit de risico-analyse noodzakelijk wordt; in dat geval moet dit verder ingevuld worden</t>
        </r>
      </text>
    </comment>
    <comment ref="B40" authorId="0" shapeId="0" xr:uid="{00000000-0006-0000-0100-00001A000000}">
      <text>
        <r>
          <rPr>
            <sz val="9"/>
            <color indexed="81"/>
            <rFont val="Tahoma"/>
            <family val="2"/>
          </rPr>
          <t xml:space="preserve">Dit is het nummer of de wijze waarop degene die het </t>
        </r>
        <r>
          <rPr>
            <b/>
            <u/>
            <sz val="9"/>
            <color indexed="81"/>
            <rFont val="Tahoma"/>
            <family val="2"/>
          </rPr>
          <t>aanspreekpunt vormt voor de medische discipline</t>
        </r>
        <r>
          <rPr>
            <sz val="9"/>
            <color indexed="81"/>
            <rFont val="Tahoma"/>
            <family val="2"/>
          </rPr>
          <t xml:space="preserve"> aanpsreekbaar is los van de manifestatie.  Het is dus de wijze waarop vragen kunnen gesteld worden indien er onduidelijkheden zouden zijn bij het invullen.</t>
        </r>
      </text>
    </comment>
    <comment ref="B41" authorId="0" shapeId="0" xr:uid="{00000000-0006-0000-0100-00001B000000}">
      <text>
        <r>
          <rPr>
            <sz val="9"/>
            <color indexed="81"/>
            <rFont val="Tahoma"/>
            <family val="2"/>
          </rPr>
          <t>Dit is het nummer waarop de verantwoordelijke op de manifestatie en tijdens de manifestatie ZEKER te bereiken is !</t>
        </r>
      </text>
    </comment>
    <comment ref="B42" authorId="0" shapeId="0" xr:uid="{00000000-0006-0000-0100-00001C000000}">
      <text>
        <r>
          <rPr>
            <sz val="9"/>
            <color indexed="81"/>
            <rFont val="Tahoma"/>
            <family val="2"/>
          </rPr>
          <t>Wanneer degene die het aanspreekpunt vormt voor de medische discipline alleen bereikbaar is via de organisatie, moet dit hier aangeduid worden, tezamen met het aanspreekpunt bij de organisatie</t>
        </r>
      </text>
    </comment>
    <comment ref="A44" authorId="0" shapeId="0" xr:uid="{00000000-0006-0000-0100-00001D000000}">
      <text>
        <r>
          <rPr>
            <sz val="9"/>
            <color indexed="81"/>
            <rFont val="Arial"/>
            <family val="2"/>
          </rPr>
          <t>In de tabel kunnen namen ingevuld worden van verantwoordelijken die van belang zijn bij de evaluatie van het risico.  Het is NIET de bedoeling van hier de namen in te vullen van personen die ingeschakeld worden in de hulpverlening; het zijn alleen de verantwoordelijken die beslissingsbevoegdheid hebben die hier moeten ingevuld worden.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Wim Haenen</author>
  </authors>
  <commentList>
    <comment ref="B4" authorId="0" shapeId="0" xr:uid="{00000000-0006-0000-0200-000001000000}">
      <text>
        <r>
          <rPr>
            <sz val="10"/>
            <color indexed="81"/>
            <rFont val="Arial"/>
            <family val="2"/>
          </rPr>
          <t xml:space="preserve">De afstand van de manifestatie tot de ambulance kan opgevraagd worden via de gemeentelijke veiligheidscel of de provinciale gezondheidsinspectie.  Ook het HC100 kan dit geven, doch alleen aan de gemeentelijke veiligheidscel.
</t>
        </r>
        <r>
          <rPr>
            <b/>
            <u/>
            <sz val="10"/>
            <color indexed="81"/>
            <rFont val="Arial"/>
            <family val="2"/>
          </rPr>
          <t>BEREKENING</t>
        </r>
        <r>
          <rPr>
            <sz val="10"/>
            <color indexed="81"/>
            <rFont val="Arial"/>
            <family val="2"/>
          </rPr>
          <t xml:space="preserve"> : Via rekenprogramma's kan vanaf het adres van de dichtsbijzijnde ambulancedienst de aanrijtijd berekend worden onders tandaardomstanighdene.  dat is meteen de reden waarom de sheet "Adressen" toegevoegd werd aan het model.</t>
        </r>
      </text>
    </comment>
    <comment ref="B5" authorId="0" shapeId="0" xr:uid="{00000000-0006-0000-0200-000002000000}">
      <text>
        <r>
          <rPr>
            <sz val="10"/>
            <color indexed="81"/>
            <rFont val="Arial"/>
            <family val="2"/>
          </rPr>
          <t xml:space="preserve">De afstand van de manifestatie tot de MUG kan opgevraagd worden via de gemeentelijke veiligheidscel of de provinciale gezondheidsinspectie.  Ook het HC100 kan dit geven, doch alleen aan de gemeentelijke veiligheidscel.
</t>
        </r>
        <r>
          <rPr>
            <b/>
            <u/>
            <sz val="10"/>
            <color indexed="81"/>
            <rFont val="Arial"/>
            <family val="2"/>
          </rPr>
          <t>BEREKENING</t>
        </r>
        <r>
          <rPr>
            <sz val="10"/>
            <color indexed="81"/>
            <rFont val="Arial"/>
            <family val="2"/>
          </rPr>
          <t xml:space="preserve"> : Via rekenprogramma's kan vanaf het adres van de dichtsbijzijnde MUG-equipe de aanrijtijd berekend worden onders tandaardomstanighdene.  dat is meteen de reden waarom de sheet "Adressen" toegevoegd werd aan het model.</t>
        </r>
      </text>
    </comment>
    <comment ref="B6" authorId="0" shapeId="0" xr:uid="{00000000-0006-0000-0200-000003000000}">
      <text>
        <r>
          <rPr>
            <sz val="10"/>
            <color indexed="81"/>
            <rFont val="Arial"/>
            <family val="2"/>
          </rPr>
          <t xml:space="preserve">Er is een afwijking van de standaardpopulatie in volgende omstandigheden :
1. Andere leeftijdsopbouw :  één leeftijdscategorie overheerst (bijvoorbeeld 
    kinderen, of een fuif met 18-23-jarigen, of een optreden voor bejaarden).
2. Ander ziekteprofiel : één bepaalde soort van publiek overheerst
</t>
        </r>
        <r>
          <rPr>
            <b/>
            <u/>
            <sz val="10"/>
            <color indexed="81"/>
            <rFont val="Arial"/>
            <family val="2"/>
          </rPr>
          <t>INVULTIP</t>
        </r>
        <r>
          <rPr>
            <sz val="10"/>
            <color indexed="81"/>
            <rFont val="Arial"/>
            <family val="2"/>
          </rPr>
          <t xml:space="preserve"> : bij twijfel kan men best "JA" invullen (zie punt 1)</t>
        </r>
      </text>
    </comment>
    <comment ref="B7" authorId="0" shapeId="0" xr:uid="{00000000-0006-0000-0200-000004000000}">
      <text>
        <r>
          <rPr>
            <sz val="10"/>
            <color indexed="81"/>
            <rFont val="Arial"/>
            <family val="2"/>
          </rPr>
          <t xml:space="preserve">Indien dit niet blijkt uit een mono- of multidisciplinair overleg kan de gemeentelijke veiligheidscel hier uitsluitsel geven.  
</t>
        </r>
        <r>
          <rPr>
            <b/>
            <u/>
            <sz val="10"/>
            <color indexed="81"/>
            <rFont val="Arial"/>
            <family val="2"/>
          </rPr>
          <t>INVULTIP</t>
        </r>
        <r>
          <rPr>
            <sz val="10"/>
            <color indexed="81"/>
            <rFont val="Arial"/>
            <family val="2"/>
          </rPr>
          <t xml:space="preserve"> : Indien er onduidelijkheid is, kan hier beter "JA" ingevuld worden.  Mocht er geen medisch risico zijn, zal dit verder uit de analyse blijken.  In geval er geen risico is, dient dit geattesteerd te worden door de gemeentelijke veiligheidscel</t>
        </r>
      </text>
    </comment>
    <comment ref="B8" authorId="0" shapeId="0" xr:uid="{00000000-0006-0000-0200-000005000000}">
      <text>
        <r>
          <rPr>
            <sz val="10"/>
            <color indexed="81"/>
            <rFont val="Arial"/>
            <family val="2"/>
          </rPr>
          <t xml:space="preserve">Indien dit niet blijkt uit een mono- of multidisciplinair overleg kan de gemeentelijke veiligheidscel hier uitsluitsel geven.  
</t>
        </r>
        <r>
          <rPr>
            <b/>
            <u/>
            <sz val="10"/>
            <color indexed="81"/>
            <rFont val="Arial"/>
            <family val="2"/>
          </rPr>
          <t>INVULTIP</t>
        </r>
        <r>
          <rPr>
            <sz val="10"/>
            <color indexed="81"/>
            <rFont val="Arial"/>
            <family val="2"/>
          </rPr>
          <t xml:space="preserve"> : Indien er onduidelijkheid is, kan hier beter "JA" ingevuld worden.  Mocht er geen medisch risico zijn, zal dit verder uit de analyse blijken.  In geval er geen risico is, dient dit geattesteerd te worden door de gemeentelijke veiligheidscel</t>
        </r>
      </text>
    </comment>
    <comment ref="E9" authorId="0" shapeId="0" xr:uid="{00000000-0006-0000-0200-000006000000}">
      <text>
        <r>
          <rPr>
            <u/>
            <sz val="10"/>
            <color indexed="10"/>
            <rFont val="Arial"/>
            <family val="2"/>
          </rPr>
          <t xml:space="preserve">Berekeningswijze </t>
        </r>
        <r>
          <rPr>
            <sz val="10"/>
            <color indexed="10"/>
            <rFont val="Arial"/>
            <family val="2"/>
          </rPr>
          <t>:
Som van de antwoorden (wat meteen de reden is waarom 1 verschijnt als "JA" ingevuld werd</t>
        </r>
      </text>
    </comment>
    <comment ref="E10" authorId="0" shapeId="0" xr:uid="{00000000-0006-0000-0200-000007000000}">
      <text>
        <r>
          <rPr>
            <u/>
            <sz val="10"/>
            <color indexed="10"/>
            <rFont val="Arial"/>
            <family val="2"/>
          </rPr>
          <t>Berekeningswijze</t>
        </r>
        <r>
          <rPr>
            <sz val="10"/>
            <color indexed="10"/>
            <rFont val="Arial"/>
            <family val="2"/>
          </rPr>
          <t xml:space="preserve"> :
Indien het veld "TOTALE SCORE" &gt; 0 zal in dit veld automatisch JA ingevuld worden.  Indien de score =0, zal hier NEEN ingevuld worden.  In het rapport zal hierdoor het geheel van de medische antenne niet meer afgeprint worden (er is immers geen noodzaak).  Dit is meteen de reden waarom bij twijfel voor één van de factoren JA (of 1) moet ingevuld worden.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Wim Haenen</author>
  </authors>
  <commentList>
    <comment ref="A4" authorId="0" shapeId="0" xr:uid="{00000000-0006-0000-0300-000001000000}">
      <text>
        <r>
          <rPr>
            <sz val="9"/>
            <color indexed="81"/>
            <rFont val="Arial"/>
            <family val="2"/>
          </rPr>
          <t>Via deze vragenreeks wordt nagegaan of er een medisch effect is van de manifestatie op korte termijn (dus met een effect op het moment dat de manifestatie nog bezig is).   Daarnaast worden een aantal aandachtspunten gegeven die het de organisator gemakkelijk kunnen maken.  
Er wordt een onderscheid gemaakt tussen een camping en de manifestatie, omdat het gedragd van de mensen essentieel anders is, en dus ook de risico's die hieraan verbonden zijn.</t>
        </r>
      </text>
    </comment>
    <comment ref="C10" authorId="0" shapeId="0" xr:uid="{00000000-0006-0000-0300-000002000000}">
      <text>
        <r>
          <rPr>
            <sz val="8"/>
            <color indexed="81"/>
            <rFont val="Tahoma"/>
            <family val="2"/>
          </rPr>
          <t>Regelmatig worden vragen gesteld naar het aantal toiletten dat moet aanwezig zijn bij een manifestatie.  De enige link hiertoe is een document van een Nederlandse site die ik vond.  Het aantal hier is het totaal aantal toiletten voor de manifestatie.  Wanneer er al een aantal vaste toiletten zijn, moeten die - uiteraard - van het totale aantal afgetrokken worden.  wanneer er dan nog toiletten nodig zijn moeten mobieke toiletten bijgeplaatst worden.</t>
        </r>
      </text>
    </comment>
    <comment ref="J25" authorId="0" shapeId="0" xr:uid="{00000000-0006-0000-0300-000003000000}">
      <text>
        <r>
          <rPr>
            <u/>
            <sz val="10"/>
            <color indexed="10"/>
            <rFont val="Arial"/>
            <family val="2"/>
          </rPr>
          <t>Berekeningswijze</t>
        </r>
        <r>
          <rPr>
            <sz val="10"/>
            <color indexed="10"/>
            <rFont val="Arial"/>
            <family val="2"/>
          </rPr>
          <t xml:space="preserve"> :
Optellen van de score, dus die gevallen waar omwille van een risico de score 1 toegekend werden.</t>
        </r>
      </text>
    </comment>
    <comment ref="J26" authorId="0" shapeId="0" xr:uid="{00000000-0006-0000-0300-000004000000}">
      <text>
        <r>
          <rPr>
            <u/>
            <sz val="10"/>
            <color indexed="10"/>
            <rFont val="Arial"/>
            <family val="2"/>
          </rPr>
          <t>Berekeningswijze</t>
        </r>
        <r>
          <rPr>
            <sz val="10"/>
            <color indexed="10"/>
            <rFont val="Arial"/>
            <family val="2"/>
          </rPr>
          <t xml:space="preserve"> :
Optellen van de score, dus die gevallen waar omwille van een risico de score 1 toegekend werden.</t>
        </r>
      </text>
    </comment>
    <comment ref="D29" authorId="0" shapeId="0" xr:uid="{00000000-0006-0000-0300-000005000000}">
      <text>
        <r>
          <rPr>
            <u/>
            <sz val="10"/>
            <color indexed="10"/>
            <rFont val="Arial"/>
            <family val="2"/>
          </rPr>
          <t xml:space="preserve">Berekeningswijze </t>
        </r>
        <r>
          <rPr>
            <sz val="10"/>
            <color indexed="10"/>
            <rFont val="Arial"/>
            <family val="2"/>
          </rPr>
          <t>:
Wanneer de score voor het gedeelte "aandachtspunten op de manifestatie" &gt; 0, zal bij de nood aan maatregelen automatisch "JA" ingevuld worden.  Ook hier geldt weer dat bij twijfel beter JA als NEEN ingevuld wordt bij de individuele scores.</t>
        </r>
      </text>
    </comment>
    <comment ref="D30" authorId="0" shapeId="0" xr:uid="{00000000-0006-0000-0300-000006000000}">
      <text>
        <r>
          <rPr>
            <u/>
            <sz val="10"/>
            <color indexed="10"/>
            <rFont val="Arial"/>
            <family val="2"/>
          </rPr>
          <t>Berekeningswijze</t>
        </r>
        <r>
          <rPr>
            <sz val="10"/>
            <color indexed="10"/>
            <rFont val="Arial"/>
            <family val="2"/>
          </rPr>
          <t xml:space="preserve"> :
Wanneer de score voor het gedeelte "aandachtspunten op de camping" &gt; 0, zal bij de nood aan maatregelen automatisch "JA" ingevuld worden.  Ook hier geldt weer dat bij twijfel beter JA als NEEN ingevuld wordt bij de individuele scores.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Wim Haenen</author>
    <author>ect</author>
  </authors>
  <commentList>
    <comment ref="D6" authorId="0" shapeId="0" xr:uid="{00000000-0006-0000-0400-000001000000}">
      <text>
        <r>
          <rPr>
            <sz val="9"/>
            <color indexed="81"/>
            <rFont val="Arial"/>
            <family val="2"/>
          </rPr>
          <t xml:space="preserve">Vul de reële aanrijtijd voor de ambulance in in minuten.  Enkel het (afgeronde) gehele getal dat de minuten weergeeft, het is niet nodig om getallen na de komma in te geven.
</t>
        </r>
        <r>
          <rPr>
            <b/>
            <u/>
            <sz val="9"/>
            <color indexed="81"/>
            <rFont val="Arial"/>
            <family val="2"/>
          </rPr>
          <t>OPMERKING</t>
        </r>
        <r>
          <rPr>
            <sz val="9"/>
            <color indexed="81"/>
            <rFont val="Arial"/>
            <family val="2"/>
          </rPr>
          <t xml:space="preserve"> : wanneer de juiste tijd niet gekend is, kan deze opgevraagd worden bij de gemeentelijke veiligheidscel of bij de gezondheidsinspectie.
</t>
        </r>
        <r>
          <rPr>
            <b/>
            <u/>
            <sz val="9"/>
            <color indexed="81"/>
            <rFont val="Arial"/>
            <family val="2"/>
          </rPr>
          <t>VOORBEELD</t>
        </r>
        <r>
          <rPr>
            <sz val="9"/>
            <color indexed="81"/>
            <rFont val="Arial"/>
            <family val="2"/>
          </rPr>
          <t xml:space="preserve"> : wanneer de ambulance 6 minuten en 22 seconden rijdt tot aan het adres van de manifestatie, moet "6" ingevuld worden; is dit 6 minuten en 47 seconden, moet "7" ingevuld worden</t>
        </r>
      </text>
    </comment>
    <comment ref="D7" authorId="0" shapeId="0" xr:uid="{00000000-0006-0000-0400-000002000000}">
      <text>
        <r>
          <rPr>
            <sz val="9"/>
            <color indexed="81"/>
            <rFont val="Arial"/>
            <family val="2"/>
          </rPr>
          <t xml:space="preserve">Vul de reële aanrijtijd voor de ambulance in in minuten.  Enkel het (afgeronde) gehele getal dat de minuten weergeeft, het is niet nodig om getallen na de komma in te geven.
</t>
        </r>
        <r>
          <rPr>
            <b/>
            <u/>
            <sz val="9"/>
            <color indexed="81"/>
            <rFont val="Arial"/>
            <family val="2"/>
          </rPr>
          <t>OPMERKING</t>
        </r>
        <r>
          <rPr>
            <sz val="9"/>
            <color indexed="81"/>
            <rFont val="Arial"/>
            <family val="2"/>
          </rPr>
          <t xml:space="preserve"> : wanneer de juiste tijd niet gekend is, kan deze opgevraagd worden bij de gemeentelijke veiligheidscel of bij de gezondheidsinspectie.
</t>
        </r>
        <r>
          <rPr>
            <b/>
            <u/>
            <sz val="9"/>
            <color indexed="81"/>
            <rFont val="Arial"/>
            <family val="2"/>
          </rPr>
          <t>VOORBEELD</t>
        </r>
        <r>
          <rPr>
            <sz val="9"/>
            <color indexed="81"/>
            <rFont val="Arial"/>
            <family val="2"/>
          </rPr>
          <t xml:space="preserve"> : wanneer de ambulance 6 minuten en 22 seconden rijdt tot aan het adres van de manifestatie, moet "6" ingevuld worden; is dit 6 minuten en 47 seconden, moet "7" ingevuld worden</t>
        </r>
      </text>
    </comment>
    <comment ref="D8" authorId="0" shapeId="0" xr:uid="{00000000-0006-0000-0400-000003000000}">
      <text>
        <r>
          <rPr>
            <sz val="9"/>
            <color indexed="81"/>
            <rFont val="Arial"/>
            <family val="2"/>
          </rPr>
          <t>Met de bereikbaarheid wordt het gemak gegeven waarmee de hulpdiensten de manifestatie kunnen bereiken tijdens deze manifestatie.   
Idealiter is er een aparte aanrijroute voor hulpdiensten, zodat bij een probleem hulpdiensten geen hinder ondervinden (deze aparte aanrijroute wordt uiteraard ook gebruikt als afvoerroute).   Indien er geen aparte aanrijroute bestaat, zal de hulpverlening vooral gehinderd kunnen worden wanneer er maar weinig aan- en afrijmogelijkheden zijn; en zeker wanneer er parkeerproblemen zijn in het geval bezoekers hun auto's op de weg parkeren die ook voor de hulpdiensten gebruikt wordt in geval van problemen.
Via dit veld wordt rekening gehouden met de potentiële hinder van een vertraagde aanrijroute op basis van de weg(en) IN en de weg(en) OUT die op het plan voor de manifestatie staan.</t>
        </r>
      </text>
    </comment>
    <comment ref="J8" authorId="0" shapeId="0" xr:uid="{00000000-0006-0000-0400-000004000000}">
      <text>
        <r>
          <rPr>
            <u/>
            <sz val="10"/>
            <color indexed="10"/>
            <rFont val="Arial"/>
            <family val="2"/>
          </rPr>
          <t>Berekeningswijze</t>
        </r>
        <r>
          <rPr>
            <sz val="10"/>
            <color indexed="10"/>
            <rFont val="Arial"/>
            <family val="2"/>
          </rPr>
          <t xml:space="preserve"> :
Indien de bereikbaarheid goed is, betekent deze geen vertraging.  Indien de bereikbaarheid matig is, wordt een vertraging aangerekend a rato van 80 % (en wordt de aanrijtijd dus met 20 % verlengd).  Indien de bereikbaarheid een daadwerkelijk probleem is, wordt deze v ertraagd tot 50 %, wat betekent dat de aanrijtijd in wezen verdubbeld wordt.</t>
        </r>
      </text>
    </comment>
    <comment ref="D9" authorId="0" shapeId="0" xr:uid="{00000000-0006-0000-0400-000005000000}">
      <text>
        <r>
          <rPr>
            <sz val="9"/>
            <color indexed="81"/>
            <rFont val="Arial"/>
            <family val="2"/>
          </rPr>
          <t xml:space="preserve">Geef het aantal perimeters die de hulpdiensten moeten passeren om op de manifestatie te geraken.   Een perimeter wordt hier gedefinieerd als een plaats waar een contrôle is en/of waar een fysieke vertraging is in de toegang.
</t>
        </r>
        <r>
          <rPr>
            <b/>
            <u/>
            <sz val="9"/>
            <color indexed="81"/>
            <rFont val="Arial"/>
            <family val="2"/>
          </rPr>
          <t>VOORBEELD</t>
        </r>
        <r>
          <rPr>
            <sz val="9"/>
            <color indexed="81"/>
            <rFont val="Arial"/>
            <family val="2"/>
          </rPr>
          <t xml:space="preserve"> : wanneer de manifestatie afgesloten is met een poort waar een controle gebeurt, moet "1" ingevuld worden; wanneer bij een grote manifestatie men eerst een afsluiting van de politie moet passeren en dan nog eens de afsluiting van het eigenlijke manifestatieterrein, moet hier "2" ingevuld worden.</t>
        </r>
      </text>
    </comment>
    <comment ref="J9" authorId="0" shapeId="0" xr:uid="{00000000-0006-0000-0400-000006000000}">
      <text>
        <r>
          <rPr>
            <u/>
            <sz val="10"/>
            <color indexed="10"/>
            <rFont val="Arial"/>
            <family val="2"/>
          </rPr>
          <t>Berekeningswijze</t>
        </r>
        <r>
          <rPr>
            <sz val="10"/>
            <color indexed="10"/>
            <rFont val="Arial"/>
            <family val="2"/>
          </rPr>
          <t xml:space="preserve"> :
Per perimeter wordt er 1 minuut extra aanrijtijd gerekend, juist omdat de perimeter een structurele vertraging geeft, ook wanneer de weg vrijgehouden wordt</t>
        </r>
        <r>
          <rPr>
            <sz val="10"/>
            <color indexed="81"/>
            <rFont val="Arial"/>
            <family val="2"/>
          </rPr>
          <t>.</t>
        </r>
      </text>
    </comment>
    <comment ref="D10" authorId="0" shapeId="0" xr:uid="{00000000-0006-0000-0400-000007000000}">
      <text>
        <r>
          <rPr>
            <sz val="9"/>
            <color indexed="81"/>
            <rFont val="Arial"/>
            <family val="2"/>
          </rPr>
          <t>Hier moet de oppervlakte van het terrein gegeven worden.  Het gaat hier over de oppervlakte voor de (deel)manifestatie.   Voor de oppervlakte moet een getal ingevuld worden tot maximaal één cijfer na de komma.  Het getal geeft het aantal km² weer.  De oppervlakte wordt gebruikt om het terrein te berekenen waarover de BLS-ploegen zich bewegen.  Voor zover het een terrein betreft waar geen mensen zijn, hoeft hier niets ingevuld te worden.</t>
        </r>
      </text>
    </comment>
    <comment ref="D11" authorId="0" shapeId="0" xr:uid="{00000000-0006-0000-0400-000008000000}">
      <text>
        <r>
          <rPr>
            <sz val="9"/>
            <color indexed="81"/>
            <rFont val="Arial"/>
            <family val="2"/>
          </rPr>
          <t xml:space="preserve">In een aantal gevallen kan er geen oppervlakte opgegeven worden omdat het niet gaat om een mooi terrein, maar omdat het gaat om een langwerpig terrein (bv. een parcours van een motocross).  Dit item moet alleen ingevuld worden wanneer er geen idee kan gegeven worden over de uitgestrektheid van het terrein.  
Het invullen van de juiste waarde hangt af van de manifestatie
</t>
        </r>
        <r>
          <rPr>
            <b/>
            <u/>
            <sz val="9"/>
            <color indexed="81"/>
            <rFont val="Arial"/>
            <family val="2"/>
          </rPr>
          <t>TYPE 1 : AFGESLOTEN CIRKEL</t>
        </r>
        <r>
          <rPr>
            <sz val="9"/>
            <color indexed="81"/>
            <rFont val="Arial"/>
            <family val="2"/>
          </rPr>
          <t xml:space="preserve">.  Indien de manifestatie een omtrek vormt rondom een terrein, en dat terrein kan op geen enkel moment doorbroken worden, moet de ganse lengte van de omtrek ingegeven worden.  Indien de manifestatie kan doorbroken worden (dus geen volledige afsluiting) en/of indien er geen mensen aan de kant staan, verspreid over de ganse lengte, geldt de regel van TYPE 2.
</t>
        </r>
        <r>
          <rPr>
            <b/>
            <u/>
            <sz val="9"/>
            <color indexed="81"/>
            <rFont val="Arial"/>
            <family val="2"/>
          </rPr>
          <t>TYPE 2 : PASSERENDE MANIFESTATIE</t>
        </r>
        <r>
          <rPr>
            <sz val="9"/>
            <color indexed="81"/>
            <rFont val="Arial"/>
            <family val="2"/>
          </rPr>
          <t xml:space="preserve"> : Het leeuwenaandeel is een passerende manifestatie (bv. een rit van een wielerwedstrijd), waarbij tijdelijk een gedeelte van de weg wordt afgezet.  Dit gedeelte volgt de wielerkoers.  In dat geval is het de tijd dat de koers passeert en de lengte waarover de aravaan gespreid is die bepalend zijn voor het dispositief.  De lengte die ingevuld wordt, is dus in wezen de lengte tussen het begin en het einde van de karavaan, uitgedrukt in km.  Meestal kan dit geschat worden op 1 km. </t>
        </r>
      </text>
    </comment>
    <comment ref="D13" authorId="0" shapeId="0" xr:uid="{00000000-0006-0000-0400-000009000000}">
      <text>
        <r>
          <rPr>
            <sz val="9"/>
            <color indexed="81"/>
            <rFont val="Arial"/>
            <family val="2"/>
          </rPr>
          <t>Terreinvariabelen zijn bepalend voor de snelheid waarmee de hulpdiensten te voet over het terrein kunnen lopen in geval van een acuut probleem.  
De keuze is zodanig opgesteld dat er geen rekening moet gehouden worden met uitzonderlijke situaties, zoals een wolkbreuk.  Het gaat dus om standaardvragen die altijd kunnen beantwoord worden.</t>
        </r>
      </text>
    </comment>
    <comment ref="D14" authorId="0" shapeId="0" xr:uid="{00000000-0006-0000-0400-00000A000000}">
      <text>
        <r>
          <rPr>
            <sz val="9"/>
            <color indexed="81"/>
            <rFont val="Arial"/>
            <family val="2"/>
          </rPr>
          <t>Voor de structuur is het van belang te weten welk soort het is.  Wanneer het een vaste structuur is die gezet is voor manifestaties, zijn er een groot aantal voorzieningen aanwezig die noodzakelijk zijn voor manifestaties (zoals bijvoorbeeld toiletten, communicatiemiddelen, ...).  Wanneer het een andere vaste structuur is, moet dit (mogelijks) nog voorzien worden, en wanneer het een tijdelijke structuur is (bijvoorbeeld een tent) moet alle infrastructuur aangevoerd worden.</t>
        </r>
      </text>
    </comment>
    <comment ref="D15" authorId="0" shapeId="0" xr:uid="{00000000-0006-0000-0400-00000B000000}">
      <text>
        <r>
          <rPr>
            <sz val="9"/>
            <color indexed="81"/>
            <rFont val="Arial"/>
            <family val="2"/>
          </rPr>
          <t xml:space="preserve">Trappen vormen een ernstige vertragingsfactor voor hulpdiensten die naar een acuut probleem gaan. </t>
        </r>
      </text>
    </comment>
    <comment ref="D16" authorId="0" shapeId="0" xr:uid="{00000000-0006-0000-0400-00000C000000}">
      <text>
        <r>
          <rPr>
            <sz val="9"/>
            <color indexed="81"/>
            <rFont val="Arial"/>
            <family val="2"/>
          </rPr>
          <t>Ook zitplaatsen vormen een vertragingsprobleem.  Wanneer de hulpdiensten tussen de zittenden door moeten gaan, betekent dit dat mensen moeilijker ruimte kunnen maken.  Tegelijk is de gang waar men door moet smal, zeker wanneer men materiaal bij zich draagt.  In zoverre zijn zitplaatsen hoe dan ook een vertragende factor in de aankomst van de hulpploeg bij een persoon in nood.</t>
        </r>
      </text>
    </comment>
    <comment ref="D17" authorId="0" shapeId="0" xr:uid="{00000000-0006-0000-0400-00000D000000}">
      <text>
        <r>
          <rPr>
            <sz val="9"/>
            <color indexed="81"/>
            <rFont val="Arial"/>
            <family val="2"/>
          </rPr>
          <t>Wanneer een manifestatie binnen doorgaat, zal de hulpploeg over het algemeen minder snel de persoon in nood kunnen bereiken, omdat het opzij gaan gelimiteerd is.</t>
        </r>
      </text>
    </comment>
    <comment ref="J17" authorId="0" shapeId="0" xr:uid="{00000000-0006-0000-0400-00000E000000}">
      <text>
        <r>
          <rPr>
            <u/>
            <sz val="10"/>
            <color indexed="10"/>
            <rFont val="Arial"/>
            <family val="2"/>
          </rPr>
          <t>Berekeningswijze</t>
        </r>
        <r>
          <rPr>
            <sz val="10"/>
            <color indexed="10"/>
            <rFont val="Arial"/>
            <family val="2"/>
          </rPr>
          <t xml:space="preserve"> :
Het begrip "score BLS" maakt een berekening van de terreinvariabelen.  Dit getal zal verder gebruikt worden om de noodzaak aan BLS-ploegen in te schatten, van daar de naam.</t>
        </r>
      </text>
    </comment>
    <comment ref="D18" authorId="0" shapeId="0" xr:uid="{00000000-0006-0000-0400-00000F000000}">
      <text>
        <r>
          <rPr>
            <sz val="9"/>
            <color indexed="81"/>
            <rFont val="Arial"/>
            <family val="2"/>
          </rPr>
          <t>Vul de</t>
        </r>
        <r>
          <rPr>
            <b/>
            <sz val="9"/>
            <color indexed="81"/>
            <rFont val="Arial"/>
            <family val="2"/>
          </rPr>
          <t xml:space="preserve"> reële aanrijtijd</t>
        </r>
        <r>
          <rPr>
            <sz val="9"/>
            <color indexed="81"/>
            <rFont val="Arial"/>
            <family val="2"/>
          </rPr>
          <t xml:space="preserve"> in in minuten van de manifestatie tot aan de spoedgevallendienst.  Enkel het (afgeronde) gehele getal dat de minuten weergeeft, het is niet nodig om getallen na de komma in te geven.
De afstand tot de dichtstbijzijnde spoedgevallendienst is een maat voor het al dan niet afgelegen zijn van de manifestatie.  Voor de medische diensten is dit een belangrijk gegeven, omdat men ervan uitgaat dat een patiënt in een noodsituatie binnen het uur na het optreden van de noodsituatie in het ziekenhuis moet verzorgd worden (dit wordt het "golden hour" genoemd).  Dit uur omvat naast het rijden naar de spoedgevallendienst eveneens de alarmeringstijd voor de hulpploegen op het manifestatieterrein om tot bij de patiênt in nood te geraken en de hulpverlening op de manifestatie.
Uit de medische gegevens blijkt dat 20 minuten als afkappunt kan gehanteerd worden voor het al dan niet bereiken van een golden hour (met andere woorden : de hulpverlening vanaf de verwittiging tot het verlaten van het manifestatieterrein loopt tot 40 minuten op om de patiënt goed te stabiliseren zodat het transport per ambulance geen extra risisco is.
</t>
        </r>
        <r>
          <rPr>
            <b/>
            <sz val="9"/>
            <color indexed="81"/>
            <rFont val="Arial"/>
            <family val="2"/>
          </rPr>
          <t>OPMERKING</t>
        </r>
        <r>
          <rPr>
            <sz val="9"/>
            <color indexed="81"/>
            <rFont val="Arial"/>
            <family val="2"/>
          </rPr>
          <t xml:space="preserve"> : wanneer dit niet gekend is, kan deze tijd opgevraagd worden via de gemeentelijke veiligheidscel en/of de provinciale gezondheidsinspectie</t>
        </r>
      </text>
    </comment>
    <comment ref="D19" authorId="0" shapeId="0" xr:uid="{00000000-0006-0000-0400-000010000000}">
      <text>
        <r>
          <rPr>
            <sz val="9"/>
            <color indexed="81"/>
            <rFont val="Arial"/>
            <family val="2"/>
          </rPr>
          <t>Wanneer de isolatieperimeter omwonenden omvat, betekent dit dat de medische middelen ook voor deze mensen gebruikt zullen worden tijdens de manifestatie indien noodzakelijk.
OPMERKING : wanneer het antwoord JA is, moet men ook denken aan de wijze waarop de omwinenden toegang krijgen tot de isolatieperimeter, alsook hun (potentieel) bezoek.</t>
        </r>
      </text>
    </comment>
    <comment ref="D20" authorId="0" shapeId="0" xr:uid="{00000000-0006-0000-0400-000011000000}">
      <text>
        <r>
          <rPr>
            <sz val="9"/>
            <color indexed="81"/>
            <rFont val="Arial"/>
            <family val="2"/>
          </rPr>
          <t>Wanneer een RVT en/of een instelling of een ziekenhuis binnen de isolatieperimeter ligt, betekent dit adt er extra maatregelen moeten genomen worden door de gezondheidsinspectie.  De vraag is dus niet zozeer van belang voor de manifestatie zelf, als wel voor de voorbereiding van extra maatregelen die te nemen zijn om de zorgverlening voor deze instelling te garanderen.</t>
        </r>
      </text>
    </comment>
    <comment ref="D21" authorId="0" shapeId="0" xr:uid="{00000000-0006-0000-0400-000012000000}">
      <text>
        <r>
          <rPr>
            <sz val="9"/>
            <color indexed="81"/>
            <rFont val="Arial"/>
            <family val="2"/>
          </rPr>
          <t xml:space="preserve">Een huisarts van wacht is alleen nodig in geval er mensen wonen binnen de isolatieperimeter.  De bedoeling van deze vraag is de overheid toe te laten om maatregelen af te spreken zodat de huisarts van wacht zonder (veel) vertraging de isolatieperimeter kan passeren en met zijn materiaal tot bij de patiënt kan geraken.
</t>
        </r>
        <r>
          <rPr>
            <b/>
            <u/>
            <sz val="9"/>
            <color indexed="81"/>
            <rFont val="Arial"/>
            <family val="2"/>
          </rPr>
          <t>INVULTIP</t>
        </r>
        <r>
          <rPr>
            <sz val="9"/>
            <color indexed="81"/>
            <rFont val="Arial"/>
            <family val="2"/>
          </rPr>
          <t xml:space="preserve"> : Wanneer op de vorige 2 vragen NEEN geantwoord is, zal het hier ook automatisch NEEN zijn.</t>
        </r>
      </text>
    </comment>
    <comment ref="D22" authorId="0" shapeId="0" xr:uid="{00000000-0006-0000-0400-000013000000}">
      <text>
        <r>
          <rPr>
            <sz val="9"/>
            <color indexed="81"/>
            <rFont val="Arial"/>
            <family val="2"/>
          </rPr>
          <t xml:space="preserve">Een verpleegkundige van wacht is alleen nodig in geval er mensen wonen binnen de isolatieperimeter.  De bedoeling van deze vraag is de overheid toe te laten om maatregelen af te spreken zodat de verpleegkundige van wacht zonder (veel) vertraging de isolatieperimeter kan passeren en met zijn materiaal tot bij de patiënt kan geraken.
</t>
        </r>
        <r>
          <rPr>
            <b/>
            <u/>
            <sz val="9"/>
            <color indexed="81"/>
            <rFont val="Arial"/>
            <family val="2"/>
          </rPr>
          <t>INVULTIP</t>
        </r>
        <r>
          <rPr>
            <sz val="9"/>
            <color indexed="81"/>
            <rFont val="Arial"/>
            <family val="2"/>
          </rPr>
          <t xml:space="preserve"> : Wanneer er noch mensen wonen, noch instellingen zijn binnen de isolatieperimeter, zal het antwoord hier ook automatisch NEEN zijn.</t>
        </r>
      </text>
    </comment>
    <comment ref="D23" authorId="0" shapeId="0" xr:uid="{00000000-0006-0000-0400-000014000000}">
      <text>
        <r>
          <rPr>
            <sz val="9"/>
            <color indexed="81"/>
            <rFont val="Arial"/>
            <family val="2"/>
          </rPr>
          <t xml:space="preserve">Maaltijdbezorging is alleen nodig in geval er mensen wonen binnen de isolatieperimeter.  De bedoeling van deze vraag is de overheid toe te laten om maatregelen af te spreken zodat de maaltijdbezorging ook tijdens de manifestatie kan doorgaan en men derhalve met maaltijden de isolatieperimeter kan passeren.  
</t>
        </r>
        <r>
          <rPr>
            <b/>
            <u/>
            <sz val="9"/>
            <color indexed="81"/>
            <rFont val="Arial"/>
            <family val="2"/>
          </rPr>
          <t>INVULTIP</t>
        </r>
        <r>
          <rPr>
            <sz val="9"/>
            <color indexed="81"/>
            <rFont val="Arial"/>
            <family val="2"/>
          </rPr>
          <t xml:space="preserve"> : Wanneer er noch mensen wonen, noch instellingen zijn binnen de isolatieperimeter, zal het antwoord hier ook automatisch NEEN zijn.  Uiteraard moet in dit geval ook met de uren van de manifestatie rekening gehouden worden : wanneer de manifestatie doorgaat op een moment dat er geen maaltijdbezorging gebeurt, moet hier NEEN ingevuld worden !</t>
        </r>
      </text>
    </comment>
    <comment ref="D24" authorId="0" shapeId="0" xr:uid="{00000000-0006-0000-0400-000015000000}">
      <text>
        <r>
          <rPr>
            <sz val="9"/>
            <color indexed="81"/>
            <rFont val="Arial"/>
            <family val="2"/>
          </rPr>
          <t xml:space="preserve">Wanneer er zich als bij toeval een apotheek bevindt binnen de isolatieperimeter, is het ondoenbaar dat deze van wacht is.  Dat zou immers betekenen dat er een stroom van mensen langsheen de isolatieperimeter moeten gaan om tot bij de apotheek te geraken.  
</t>
        </r>
        <r>
          <rPr>
            <b/>
            <u/>
            <sz val="9"/>
            <color indexed="81"/>
            <rFont val="Arial"/>
            <family val="2"/>
          </rPr>
          <t>INVULTIP</t>
        </r>
        <r>
          <rPr>
            <sz val="9"/>
            <color indexed="81"/>
            <rFont val="Arial"/>
            <family val="2"/>
          </rPr>
          <t xml:space="preserve"> : wanneer zich een apotheek bevindt binnen de isolatieperimeter, moet men nagaan dat deze op het moment van de manifestatie van wacht is.  Is dit het geval, zal via de gezondheidsinspectie moeten gevraagd worden om de wachtbeurt te wisselen.  De vraag kan egsteld worden via de gemeentelijke veiligheidscel, die deze verder doorgeeft.</t>
        </r>
      </text>
    </comment>
    <comment ref="D25" authorId="0" shapeId="0" xr:uid="{00000000-0006-0000-0400-000016000000}">
      <text>
        <r>
          <rPr>
            <sz val="9"/>
            <color indexed="81"/>
            <rFont val="Arial"/>
            <family val="2"/>
          </rPr>
          <t>Deze vraag heeft vooral belang naar coördinatie van de zorgen voor de omwonenden toe (maaltijdbedeling, maar ook bijvoorbeeld de husiarts van wacht kan verschillend zijn voor 2 gemeenten, zodat meerdere diensten moeten verwittigd worden).</t>
        </r>
      </text>
    </comment>
    <comment ref="J25" authorId="0" shapeId="0" xr:uid="{00000000-0006-0000-0400-000017000000}">
      <text>
        <r>
          <rPr>
            <u/>
            <sz val="10"/>
            <color indexed="10"/>
            <rFont val="Arial"/>
            <family val="2"/>
          </rPr>
          <t>Berekeningswijze</t>
        </r>
        <r>
          <rPr>
            <sz val="10"/>
            <color indexed="10"/>
            <rFont val="Arial"/>
            <family val="2"/>
          </rPr>
          <t xml:space="preserve"> :
Het getal "Score OMW" geeft de score weer voor het item "omwonenden".  Deze score wordt verder meegenomen om maatregelen voor te stellen ten behoeve van omwonenden.  Wanneer de score =0 moet er uiteraard geen enkele maatregel genomen worden !</t>
        </r>
      </text>
    </comment>
    <comment ref="B30" authorId="0" shapeId="0" xr:uid="{00000000-0006-0000-0400-000018000000}">
      <text>
        <r>
          <rPr>
            <sz val="9"/>
            <color indexed="81"/>
            <rFont val="Arial"/>
            <family val="2"/>
          </rPr>
          <t>De gegevens worden overgenomen vanuit luik 1 (automatisch ingevuld)</t>
        </r>
      </text>
    </comment>
    <comment ref="J37" authorId="0" shapeId="0" xr:uid="{00000000-0006-0000-0400-000019000000}">
      <text>
        <r>
          <rPr>
            <b/>
            <sz val="10"/>
            <color indexed="18"/>
            <rFont val="Arial"/>
            <family val="2"/>
          </rPr>
          <t>OPMERKING</t>
        </r>
        <r>
          <rPr>
            <sz val="10"/>
            <color indexed="18"/>
            <rFont val="Arial"/>
            <family val="2"/>
          </rPr>
          <t xml:space="preserve">
Alle berekeningen voor de populatie werden overgenomen uit het eerste luik (Aanvraag).  Er hoeft hier dus niets meer ingevuld te worden !</t>
        </r>
      </text>
    </comment>
    <comment ref="D42" authorId="0" shapeId="0" xr:uid="{00000000-0006-0000-0400-00001A000000}">
      <text>
        <r>
          <rPr>
            <sz val="9"/>
            <color indexed="81"/>
            <rFont val="Arial"/>
            <family val="2"/>
          </rPr>
          <t xml:space="preserve">Uit de medische literatuur blijkt dat de leeftijd één van de factoren is in het aantal verzorgingen.  De leeftijdsklassen die hier gevraagd worden komen overeen met de risico's die in de medische literatuur bepaald worden.
</t>
        </r>
        <r>
          <rPr>
            <b/>
            <u/>
            <sz val="9"/>
            <color indexed="81"/>
            <rFont val="Arial"/>
            <family val="2"/>
          </rPr>
          <t xml:space="preserve">INVULTIP </t>
        </r>
        <r>
          <rPr>
            <sz val="9"/>
            <color indexed="81"/>
            <rFont val="Arial"/>
            <family val="2"/>
          </rPr>
          <t>: Een bepaalde leeftijdsklasse moet gekozen worden wanneer minimaal 2/3 van de bezoekers tot die leeftijdsklasse behoren.</t>
        </r>
      </text>
    </comment>
    <comment ref="D43" authorId="0" shapeId="0" xr:uid="{00000000-0006-0000-0400-00001B000000}">
      <text>
        <r>
          <rPr>
            <sz val="9"/>
            <color indexed="81"/>
            <rFont val="Arial"/>
            <family val="2"/>
          </rPr>
          <t xml:space="preserve">Alcoholgebruik kan leiden tot een grote workload voor de medische diensten.  Op basis van de soort van manifestatie weet de organisator dat er een al dan niet storend alcoholgebruik is.  
</t>
        </r>
        <r>
          <rPr>
            <b/>
            <u/>
            <sz val="9"/>
            <color indexed="81"/>
            <rFont val="Arial"/>
            <family val="2"/>
          </rPr>
          <t>INVULTIP</t>
        </r>
        <r>
          <rPr>
            <sz val="9"/>
            <color indexed="81"/>
            <rFont val="Arial"/>
            <family val="2"/>
          </rPr>
          <t xml:space="preserve"> : aanwezig zonder verwachting : 0-15 % van de bezoekers worden verwacht van alcohol te gebruiken; aanwezig met risicoverwachting : 15-40% van bezoekers gebruikt alcohol; overvloedig gebruik : meer dan 40% van de bezoekers wordt verwacht van alcohol te gebruiken
</t>
        </r>
      </text>
    </comment>
    <comment ref="D44" authorId="0" shapeId="0" xr:uid="{00000000-0006-0000-0400-00001C000000}">
      <text>
        <r>
          <rPr>
            <sz val="9"/>
            <color indexed="81"/>
            <rFont val="Arial"/>
            <family val="2"/>
          </rPr>
          <t xml:space="preserve">Druggebruik als dusdanig is een veel groter risico, zeker in combinatie met alcohol.  Het gaat hier om softdrugs en illegale drugs; het gaat niet om tabak en/of alcohol.
</t>
        </r>
        <r>
          <rPr>
            <b/>
            <u/>
            <sz val="9"/>
            <color indexed="81"/>
            <rFont val="Arial"/>
            <family val="2"/>
          </rPr>
          <t>INVULTIP</t>
        </r>
        <r>
          <rPr>
            <sz val="9"/>
            <color indexed="81"/>
            <rFont val="Arial"/>
            <family val="2"/>
          </rPr>
          <t xml:space="preserve"> : geen gebruik : 0% gebruikt drugs; gebruik zonder risicoverwachting : 0-5% gebruikt softdrugs; gebruik met risicoverwachting : 6-10% gebruikt softdrugsen/of 0-1% gebruikt harddrugs. Overvloedig gebruik : &gt;10 % gebruikt softdrugs en/of &gt;1% gebruikt andere drugs dan softdrugs</t>
        </r>
      </text>
    </comment>
    <comment ref="D45" authorId="0" shapeId="0" xr:uid="{00000000-0006-0000-0400-00001D000000}">
      <text>
        <r>
          <rPr>
            <sz val="9"/>
            <color indexed="81"/>
            <rFont val="Arial"/>
            <family val="2"/>
          </rPr>
          <t xml:space="preserve">Een specifiek publiek brengt steeds ene overmaat aan specifieke problemen met zich mee.  Daarom wordt een onderscheid gemaakt tussen een publiek dat overeenkomt met een standaardpopulatie en een ander publiek
</t>
        </r>
        <r>
          <rPr>
            <b/>
            <u/>
            <sz val="9"/>
            <color indexed="81"/>
            <rFont val="Arial"/>
            <family val="2"/>
          </rPr>
          <t>INVULTIP</t>
        </r>
        <r>
          <rPr>
            <sz val="9"/>
            <color indexed="81"/>
            <rFont val="Arial"/>
            <family val="2"/>
          </rPr>
          <t xml:space="preserve"> : vul bij twijfel "één type van publiek" in</t>
        </r>
      </text>
    </comment>
    <comment ref="D46" authorId="0" shapeId="0" xr:uid="{00000000-0006-0000-0400-00001E000000}">
      <text>
        <r>
          <rPr>
            <sz val="9"/>
            <color indexed="81"/>
            <rFont val="Arial"/>
            <family val="2"/>
          </rPr>
          <t xml:space="preserve">Tezamen met de vorige vraag wordt bij deze vraag gepeild naar de risico's die één type prubliek met zich meebrengt.  Vaak gaat het om vooraf gekende risico's.  Hier worden volgende mogelijkheden voorzien :
- &lt;10 % van publiek heeft een vermoeden vane en basispathologie
- 10% of meer is gehandicapt (en heeft derhalve hiervoor specifieke verzorgingen en/of voorzieningen nodig)
- 10% of meer heeft een vooraf gekende ziekte (en heeft hiervoor specifieke noden)
</t>
        </r>
      </text>
    </comment>
    <comment ref="D47" authorId="0" shapeId="0" xr:uid="{00000000-0006-0000-0400-00001F000000}">
      <text>
        <r>
          <rPr>
            <sz val="9"/>
            <color indexed="81"/>
            <rFont val="Arial"/>
            <family val="2"/>
          </rPr>
          <t>Catering zelf is een risico op voedselintoxicatie.  Het grote verschil is het feit dat de catering koud gegeven wordt, dan wel opgewarmd wordt (waarbij er veel meer manipulatie is van voedsel en meer gezondheidsrisico's zijn).</t>
        </r>
      </text>
    </comment>
    <comment ref="J47" authorId="0" shapeId="0" xr:uid="{00000000-0006-0000-0400-000020000000}">
      <text>
        <r>
          <rPr>
            <u/>
            <sz val="10"/>
            <color indexed="10"/>
            <rFont val="Arial"/>
            <family val="2"/>
          </rPr>
          <t>Berekeningswijze</t>
        </r>
        <r>
          <rPr>
            <sz val="10"/>
            <color indexed="10"/>
            <rFont val="Arial"/>
            <family val="2"/>
          </rPr>
          <t xml:space="preserve"> :
Om de exacte duur te berekenen van de manifestatie wordt de totale duur vermenigvuldigd met het percentage dat de mensen in globo aanwezig zijn</t>
        </r>
        <r>
          <rPr>
            <sz val="10"/>
            <color indexed="81"/>
            <rFont val="Arial"/>
            <family val="2"/>
          </rPr>
          <t>.</t>
        </r>
      </text>
    </comment>
    <comment ref="D48" authorId="0" shapeId="0" xr:uid="{00000000-0006-0000-0400-000021000000}">
      <text>
        <r>
          <rPr>
            <sz val="9"/>
            <color indexed="81"/>
            <rFont val="Arial"/>
            <family val="2"/>
          </rPr>
          <t>Aanwezigheid van logies impliceert een langduriger manifestatie</t>
        </r>
      </text>
    </comment>
    <comment ref="D50" authorId="0" shapeId="0" xr:uid="{00000000-0006-0000-0400-000022000000}">
      <text>
        <r>
          <rPr>
            <b/>
            <sz val="10"/>
            <color indexed="18"/>
            <rFont val="Arial"/>
            <family val="2"/>
          </rPr>
          <t>OPMERKING</t>
        </r>
        <r>
          <rPr>
            <sz val="10"/>
            <color indexed="18"/>
            <rFont val="Arial"/>
            <family val="2"/>
          </rPr>
          <t xml:space="preserve">
Het juiste type van manifestatie wordt overgenomen vanuit het eerste luik (Aanvraag).  Er moet hier dus niets ingevuld worden.</t>
        </r>
      </text>
    </comment>
    <comment ref="D51" authorId="0" shapeId="0" xr:uid="{00000000-0006-0000-0400-000023000000}">
      <text>
        <r>
          <rPr>
            <b/>
            <sz val="10"/>
            <color indexed="56"/>
            <rFont val="Arial"/>
            <family val="2"/>
          </rPr>
          <t>OPMERKING</t>
        </r>
        <r>
          <rPr>
            <sz val="10"/>
            <color indexed="56"/>
            <rFont val="Arial"/>
            <family val="2"/>
          </rPr>
          <t xml:space="preserve">
De duur van de manifestatie wordt overgenomen vanuit het eerste luik (het aantal uur dat de manifestatie in totaal duurt).</t>
        </r>
      </text>
    </comment>
    <comment ref="D53" authorId="0" shapeId="0" xr:uid="{00000000-0006-0000-0400-000024000000}">
      <text>
        <r>
          <rPr>
            <sz val="9"/>
            <color indexed="81"/>
            <rFont val="Arial"/>
            <family val="2"/>
          </rPr>
          <t xml:space="preserve">In principe wordt het medisch luik berekend in blokken van 5 uur.  Dit betekent dat een manifestatie die minder lang duurt, ook een lagere workload zal betekenen voor de hulpdiensten.  Daarom wordt er een correctie voor de duur van de manifestatie doorgevoerd.  Deze staat NAAST de correctie voor het aantal mensen die tegelijk aanwezig zijn op de manifestatie (luik 1)
</t>
        </r>
        <r>
          <rPr>
            <b/>
            <u/>
            <sz val="9"/>
            <color indexed="81"/>
            <rFont val="Arial"/>
            <family val="2"/>
          </rPr>
          <t>INVULTIP</t>
        </r>
        <r>
          <rPr>
            <sz val="9"/>
            <color indexed="81"/>
            <rFont val="Arial"/>
            <family val="2"/>
          </rPr>
          <t xml:space="preserve"> : wanneer een manifestatie 3 uur duurt (in het vak ervoor ingevuld), moet je hier "75" invullen, 3 uur is namelijk 75% van 4 uur.  Dit veld moet alleen ingevuld worden wanneer de duur van de manifestatie minder is dan 4 uur; wanneer ze meer is dan 4 uur, moet steeds 100% ingevuld worden (ook al zou de duur 6 of 7 uur zijn).</t>
        </r>
      </text>
    </comment>
    <comment ref="E53" authorId="1" shapeId="0" xr:uid="{00000000-0006-0000-0400-000025000000}">
      <text>
        <r>
          <rPr>
            <sz val="10"/>
            <color indexed="81"/>
            <rFont val="Arial"/>
            <family val="2"/>
          </rPr>
          <t>Voor de berekening van de incidentie wordt uitgegaan van de totale duur van de manifestatie.   Vaak is deze populatie niet de ganse periode aanwezig.  In dit veld kan je het percentage invullen (van 0 tot 100) dat de populatie aanwezig is.  Voor een rockconcert van 8 uur bijvoorbeeld blijft men over het algemeen de hele tijd en is dit veld 100%.  Voor een wekelijkse markt daarentegen die 4 uur duurt, zijn de mensen die komen gemiddeld maar een goede 1,5 uur aanwezig.  Het percentage is in dat geval 40 % en in het veld moet 40 ingevuld worden.</t>
        </r>
        <r>
          <rPr>
            <sz val="8"/>
            <color indexed="81"/>
            <rFont val="Tahoma"/>
            <family val="2"/>
          </rPr>
          <t xml:space="preserve">
</t>
        </r>
      </text>
    </comment>
    <comment ref="I53" authorId="0" shapeId="0" xr:uid="{00000000-0006-0000-0400-000026000000}">
      <text>
        <r>
          <rPr>
            <sz val="10"/>
            <color indexed="81"/>
            <rFont val="Arial"/>
            <family val="2"/>
          </rPr>
          <t>Voor de berekening van de incidentie wordt uitgegaan van de totale duur van de manifestatie.   Vaak is deze populatie niet de ganse periode aanwezig.  In dit veld kan je het percentage invullen (van 0 tot 100) dat de populatie aanwezig is.  Voor een rockconcert van 8 uur bijvoorbeeld blijft men over het algemeen de hele tijd en is dit veld 100%.  Voor een wekelijkse markt daarentegen die 4 uur duurt, zijn de mensen die komen gemiddeld maar een goede 1,5 uur aanwezig.  Het percentage is in dat geval 40 % en in het veld moet 40 ingevuld worden.</t>
        </r>
      </text>
    </comment>
    <comment ref="D55" authorId="0" shapeId="0" xr:uid="{00000000-0006-0000-0400-000027000000}">
      <text>
        <r>
          <rPr>
            <sz val="9"/>
            <color indexed="81"/>
            <rFont val="Arial"/>
            <family val="2"/>
          </rPr>
          <t>Het gaat hier om de temperatuur die verwacht wordt op het moment van de manifestatie; de exacte temperatuur is - uiteraard - niet gekend op het moment dat de risico-aanvraag ingevuld wordt.</t>
        </r>
      </text>
    </comment>
    <comment ref="J55" authorId="0" shapeId="0" xr:uid="{00000000-0006-0000-0400-000028000000}">
      <text>
        <r>
          <rPr>
            <u/>
            <sz val="10"/>
            <color indexed="10"/>
            <rFont val="Arial"/>
            <family val="2"/>
          </rPr>
          <t>Berekeningswijze</t>
        </r>
        <r>
          <rPr>
            <sz val="10"/>
            <color indexed="10"/>
            <rFont val="Arial"/>
            <family val="2"/>
          </rPr>
          <t xml:space="preserve"> :
De score "ZIE" is de score die berekend wordt op basis van de variabelen voor ZIEKTE.  Het is het samentellen van de scores voor de vragen 22 -&gt; 30 en 32 en 33.  De 2 vragen onder 31 geven de duur van de manifestatie weer.</t>
        </r>
      </text>
    </comment>
    <comment ref="D61" authorId="0" shapeId="0" xr:uid="{00000000-0006-0000-0400-000029000000}">
      <text>
        <r>
          <rPr>
            <sz val="9"/>
            <color indexed="81"/>
            <rFont val="Arial"/>
            <family val="2"/>
          </rPr>
          <t>Met de anciënniteit van de manifestatie bedoelt men het aantal maal dat die specifieke manifestatie door dezelfde organisator georganiseerd wordt onder dezelfde omstandigheden (dus bijvoorbeeld ook dezelfde locatie).  Dit geeft aan in hoeverre de organisator vertrouwd is met de problemen die kunnen optreden.</t>
        </r>
      </text>
    </comment>
    <comment ref="J61" authorId="0" shapeId="0" xr:uid="{00000000-0006-0000-0400-00002A000000}">
      <text>
        <r>
          <rPr>
            <u/>
            <sz val="10"/>
            <color indexed="10"/>
            <rFont val="Arial"/>
            <family val="2"/>
          </rPr>
          <t>Berekeningswijze</t>
        </r>
        <r>
          <rPr>
            <sz val="10"/>
            <color indexed="10"/>
            <rFont val="Arial"/>
            <family val="2"/>
          </rPr>
          <t xml:space="preserve"> :
Met de score REG, die een som is van de variabelen 34 en 35, wordt een beeld gegeven van het feit dat er een bijsturing nodig is op basis van de organisatie en de gegevens door hen verleend.  Hier wordt verder mee gerekend.</t>
        </r>
      </text>
    </comment>
    <comment ref="D62" authorId="0" shapeId="0" xr:uid="{00000000-0006-0000-0400-00002B000000}">
      <text>
        <r>
          <rPr>
            <sz val="9"/>
            <color indexed="81"/>
            <rFont val="Arial"/>
            <family val="2"/>
          </rPr>
          <t>Het gaat hier om een MEDISCHE registratie, dus een registratie van het aantal verzorgingen, afvoeren naar het ziekenhuis, maar ook de soort van pathologie die men tegenkomt, …
Er moet enkel JA ingevuld worden wanneer (a) de medische registratie bestaat en (b) er inzage is in de resultaten</t>
        </r>
      </text>
    </comment>
    <comment ref="D64" authorId="0" shapeId="0" xr:uid="{00000000-0006-0000-0400-00002C000000}">
      <text>
        <r>
          <rPr>
            <sz val="9"/>
            <color indexed="81"/>
            <rFont val="Arial"/>
            <family val="2"/>
          </rPr>
          <t xml:space="preserve">Hier moet alleen JA ingevuld worden indien men vanuit de medische literatuur daadwerkelijk weet dat er medische problemen te verwachten zijn.
</t>
        </r>
        <r>
          <rPr>
            <b/>
            <sz val="9"/>
            <color indexed="81"/>
            <rFont val="Arial"/>
            <family val="2"/>
          </rPr>
          <t xml:space="preserve">Wanneer er porblemen te verwachten zijn (bv. Nieuw type van drugs) wordt U via de media en zo nodig via de gezondheidsinspectie op de hoogte gebracht.  Wanneer U derhalve geen alarmbericht kreeg, kan U hier </t>
        </r>
        <r>
          <rPr>
            <b/>
            <sz val="9"/>
            <color indexed="10"/>
            <rFont val="Arial"/>
            <family val="2"/>
          </rPr>
          <t>NEEN</t>
        </r>
        <r>
          <rPr>
            <b/>
            <sz val="9"/>
            <color indexed="81"/>
            <rFont val="Arial"/>
            <family val="2"/>
          </rPr>
          <t xml:space="preserve"> invullen !</t>
        </r>
      </text>
    </comment>
    <comment ref="J65" authorId="0" shapeId="0" xr:uid="{00000000-0006-0000-0400-00002D000000}">
      <text>
        <r>
          <rPr>
            <u/>
            <sz val="10"/>
            <color indexed="10"/>
            <rFont val="Arial"/>
            <family val="2"/>
          </rPr>
          <t xml:space="preserve">Berekeningswijze </t>
        </r>
        <r>
          <rPr>
            <sz val="10"/>
            <color indexed="10"/>
            <rFont val="Arial"/>
            <family val="2"/>
          </rPr>
          <t xml:space="preserve">:
De score LIT geeft weer of er al dan niet een literatuuronderzoek noodzakelijk is </t>
        </r>
      </text>
    </comment>
    <comment ref="D66" authorId="0" shapeId="0" xr:uid="{00000000-0006-0000-0400-00002E000000}">
      <text>
        <r>
          <rPr>
            <sz val="10"/>
            <color indexed="81"/>
            <rFont val="Arial"/>
            <family val="2"/>
          </rPr>
          <t>Nutsvoorzieningen kunnen leiden tot extra problemen voor brandweer.
Nutsvoorzieningen omvatten generatoren voor elektriciteit, koelinstallaties, installaties voor water, ...</t>
        </r>
      </text>
    </comment>
    <comment ref="D75" authorId="0" shapeId="0" xr:uid="{00000000-0006-0000-0400-00002F000000}">
      <text>
        <r>
          <rPr>
            <sz val="9"/>
            <color indexed="81"/>
            <rFont val="Arial"/>
            <family val="2"/>
          </rPr>
          <t>Hier moet JA ingevuld worden wanneer uit de risicoanalyse van de politie blijkt dat er een probleem is.  Bij twijfel wordt dit best nagevraagd bij de politie.</t>
        </r>
        <r>
          <rPr>
            <b/>
            <sz val="8"/>
            <color indexed="81"/>
            <rFont val="Tahoma"/>
            <family val="2"/>
          </rPr>
          <t xml:space="preserve">
</t>
        </r>
      </text>
    </comment>
    <comment ref="D76" authorId="0" shapeId="0" xr:uid="{00000000-0006-0000-0400-000030000000}">
      <text>
        <r>
          <rPr>
            <sz val="9"/>
            <color indexed="81"/>
            <rFont val="Arial"/>
            <family val="2"/>
          </rPr>
          <t>Hier moet JA ingevuld worden wanneer uit de risicoanalyse van de brandweer blijkt dat er een probleem is.  Bij twijfel wordt dit best nagevraagd bij de brandweer.</t>
        </r>
      </text>
    </comment>
    <comment ref="J79" authorId="0" shapeId="0" xr:uid="{00000000-0006-0000-0400-000031000000}">
      <text>
        <r>
          <rPr>
            <u/>
            <sz val="10"/>
            <color indexed="10"/>
            <rFont val="Arial"/>
            <family val="2"/>
          </rPr>
          <t>Berekeningswijze</t>
        </r>
        <r>
          <rPr>
            <sz val="10"/>
            <color indexed="10"/>
            <rFont val="Arial"/>
            <family val="2"/>
          </rPr>
          <t xml:space="preserve"> :
Tot hier is de risico-analyse steeds een monodisciplinaire benadering geweest.  Het is evenwel logisch te veronderstellen dat de medische discipline een weerslag heeft op de andere disciplines en omgekeerd.  De bedoeling van de score "MUL", die een som is van de score van de variabelen voor de multidisciplinaire elementen, is om een inschatting te maken van de nood aan een multidisciplinaire bijsturing.</t>
        </r>
        <r>
          <rPr>
            <sz val="10"/>
            <color indexed="81"/>
            <rFont val="Arial"/>
            <family val="2"/>
          </rPr>
          <t xml:space="preserve">
</t>
        </r>
      </text>
    </comment>
    <comment ref="D97" authorId="0" shapeId="0" xr:uid="{00000000-0006-0000-0400-000032000000}">
      <text>
        <r>
          <rPr>
            <sz val="9"/>
            <color indexed="81"/>
            <rFont val="Tahoma"/>
            <family val="2"/>
          </rPr>
          <t xml:space="preserve">De vereisten van de dienst 100 zijn duidelijk : er wordt actueel gewerkt met ASTRID-radio's.  De radio's moeten bruikbaar zijn in geval zich een ramp voordoet.  De dienst die instaat voor de medische hulpverlening moet in dat geval het communicatieschema van het MIP volgen.
Dit MIP (en het communicatieschema) vindt U op OSR en/of via de gezondheidsinspectie </t>
        </r>
      </text>
    </comment>
    <comment ref="D98" authorId="0" shapeId="0" xr:uid="{00000000-0006-0000-0400-000033000000}">
      <text>
        <r>
          <rPr>
            <sz val="9"/>
            <color indexed="81"/>
            <rFont val="Arial"/>
            <family val="2"/>
          </rPr>
          <t>Het HC100 moet weten hoe een eventuele medische aanwezigheid op de manifestatie bereikt kan worden en vanaf wanneer tot wanneer</t>
        </r>
      </text>
    </comment>
    <comment ref="D99" authorId="0" shapeId="0" xr:uid="{00000000-0006-0000-0400-000034000000}">
      <text>
        <r>
          <rPr>
            <sz val="9"/>
            <color indexed="81"/>
            <rFont val="Arial"/>
            <family val="2"/>
          </rPr>
          <t>Hier moet "JA" ingevuld worden, tenzij er minimaal één veiligheidsvergadering doorgaat.  In dat geval moet deze vraag gesteld en beantwoord worden in de veiligheidsvergadering.</t>
        </r>
      </text>
    </comment>
    <comment ref="J100" authorId="0" shapeId="0" xr:uid="{00000000-0006-0000-0400-000035000000}">
      <text>
        <r>
          <rPr>
            <u/>
            <sz val="10"/>
            <color indexed="10"/>
            <rFont val="Arial"/>
            <family val="2"/>
          </rPr>
          <t>Berekeningswijze</t>
        </r>
        <r>
          <rPr>
            <sz val="10"/>
            <color indexed="10"/>
            <rFont val="Arial"/>
            <family val="2"/>
          </rPr>
          <t xml:space="preserve"> :
De score MIP geeft in feite weer in hoeverre het plan nu reeds voldoet aan de vereisten betreffende het MIP.  Elk van de elementen die hoger scort dan 0 is een bij te sturen element.</t>
        </r>
      </text>
    </comment>
    <comment ref="D101" authorId="0" shapeId="0" xr:uid="{00000000-0006-0000-0400-000036000000}">
      <text>
        <r>
          <rPr>
            <sz val="9"/>
            <color indexed="81"/>
            <rFont val="Arial"/>
            <family val="2"/>
          </rPr>
          <t xml:space="preserve">Het betreft hier het tabblad met als titel "100" op een blauwe achtergrond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Wim Haenen</author>
  </authors>
  <commentList>
    <comment ref="D18" authorId="0" shapeId="0" xr:uid="{00000000-0006-0000-0900-000001000000}">
      <text>
        <r>
          <rPr>
            <sz val="9"/>
            <color indexed="81"/>
            <rFont val="Arial"/>
            <family val="2"/>
          </rPr>
          <t>Met de anciënniteit van de manifestatie bedoelt men het aantal maal dat die specifieke manifestatie door dezelfde organisator georganiseerd wordt onder dezelfde omstandigheden (dus bijvoorbeeld ook dezelfde locatie).  Dit geeft aan in hoeverre de organisator vertrouwd is met de problemen die kunnen optreden.</t>
        </r>
      </text>
    </comment>
    <comment ref="D19" authorId="0" shapeId="0" xr:uid="{00000000-0006-0000-0900-000002000000}">
      <text>
        <r>
          <rPr>
            <sz val="9"/>
            <color indexed="81"/>
            <rFont val="Arial"/>
            <family val="2"/>
          </rPr>
          <t xml:space="preserve">Hier moet alleen JA ingevuld worden indien men vanuit de medische literatuur daadwerkelijk weet dat er medische problemen te verwachten zijn.
</t>
        </r>
        <r>
          <rPr>
            <b/>
            <sz val="9"/>
            <color indexed="81"/>
            <rFont val="Arial"/>
            <family val="2"/>
          </rPr>
          <t xml:space="preserve">Wanneer er porblemen te verwachten zijn (bv. Nieuw type van drugs) wordt U via de media en zo nodig via de gezondheidsinspectie op de hoogte gebracht.  Wanneer U derhalve geen alarmbericht kreeg, kan U hier </t>
        </r>
        <r>
          <rPr>
            <b/>
            <sz val="9"/>
            <color indexed="10"/>
            <rFont val="Arial"/>
            <family val="2"/>
          </rPr>
          <t>NEEN</t>
        </r>
        <r>
          <rPr>
            <b/>
            <sz val="9"/>
            <color indexed="81"/>
            <rFont val="Arial"/>
            <family val="2"/>
          </rPr>
          <t xml:space="preserve"> invullen !</t>
        </r>
      </text>
    </comment>
    <comment ref="D24" authorId="0" shapeId="0" xr:uid="{00000000-0006-0000-0900-000003000000}">
      <text>
        <r>
          <rPr>
            <sz val="9"/>
            <color indexed="81"/>
            <rFont val="Tahoma"/>
            <family val="2"/>
          </rPr>
          <t xml:space="preserve">De vereisten van de dienst 100 zijn duidelijk : er wordt actueel gewerkt met ASTRID-radio's.  De radio's moeten bruikbaar zijn in geval zich een ramp voordoet.  De dienst die instaat voor de medische hulpverlening moet in dat geval het communicatieschema van het MIP volgen.
Dit MIP (en het communicatieschema) vindt U op OSR en/of via de gezondheidsinspectie </t>
        </r>
      </text>
    </comment>
    <comment ref="D25" authorId="0" shapeId="0" xr:uid="{00000000-0006-0000-0900-000004000000}">
      <text>
        <r>
          <rPr>
            <sz val="9"/>
            <color indexed="81"/>
            <rFont val="Arial"/>
            <family val="2"/>
          </rPr>
          <t>Het HC100 moet weten hoe een eventuele medische aanwezigheid op de manifestatie bereikt kan worden en vanaf wanneer tot wanneer</t>
        </r>
      </text>
    </comment>
    <comment ref="D26" authorId="0" shapeId="0" xr:uid="{00000000-0006-0000-0900-000005000000}">
      <text>
        <r>
          <rPr>
            <sz val="9"/>
            <color indexed="81"/>
            <rFont val="Arial"/>
            <family val="2"/>
          </rPr>
          <t>Hier moet "JA" ingevuld worden, tenzij er minimaal één veiligheidsvergadering doorgaat.  In dat geval moet deze vraag gesteld en beantwoord worden in de veiligheidsvergadering.</t>
        </r>
      </text>
    </comment>
    <comment ref="D29" authorId="0" shapeId="0" xr:uid="{00000000-0006-0000-0900-000006000000}">
      <text>
        <r>
          <rPr>
            <sz val="9"/>
            <color indexed="81"/>
            <rFont val="Arial"/>
            <family val="2"/>
          </rPr>
          <t xml:space="preserve">Het betreft hier het tabblad met als titel "100" op een blauwe achtergrond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Wim Haenen</author>
  </authors>
  <commentList>
    <comment ref="C36" authorId="0" shapeId="0" xr:uid="{00000000-0006-0000-1600-000001000000}">
      <text>
        <r>
          <rPr>
            <u/>
            <sz val="10"/>
            <color indexed="10"/>
            <rFont val="Arial"/>
            <family val="2"/>
          </rPr>
          <t>Berekeningswijze</t>
        </r>
        <r>
          <rPr>
            <sz val="10"/>
            <color indexed="10"/>
            <rFont val="Arial"/>
            <family val="2"/>
          </rPr>
          <t xml:space="preserve"> :
Indien de (maximale) workload minder is dan simultaan 2 mensen, is de druk op de medische antenne laag en kom men toe met het minimalistische schema.
Indien er 2 of meer mensen simultaan behandeld zorden, hangt het af van de CP-OPS.  Indien deze volledig bemand is, gaat men uit van een grote dru op het systeem en s het maximale communicatieschema nodig.  In alle andere gevallen is het het intermediair communicatieschema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Wim Haenen</author>
  </authors>
  <commentList>
    <comment ref="I3" authorId="0" shapeId="0" xr:uid="{00000000-0006-0000-1700-000001000000}">
      <text>
        <r>
          <rPr>
            <sz val="10"/>
            <color indexed="81"/>
            <rFont val="Arial"/>
            <family val="2"/>
          </rPr>
          <t>Dit is de overall gemiddelde duur van de behandeling, vetrekkend vanuit een groot aantal manifestaties.  Tot op heden is dit GEEN rekenveld.  Er werd voor geopteerd om hier geen variabel rekenveld te maken, omdat de opsplitsing in grote klassen even arbitrair is als het vastleggen van een gemiddelde  tijd voor alle verzorgingen.
Het altrenatief - een behandelduur per pathologieklasse - is niet haalbaar omdat hiervoor geen statistisch significante gegevens bestaan, noch in B, noch in de medische literatuur.</t>
        </r>
      </text>
    </comment>
    <comment ref="I4" authorId="0" shapeId="0" xr:uid="{00000000-0006-0000-1700-000002000000}">
      <text>
        <r>
          <rPr>
            <u/>
            <sz val="10"/>
            <color indexed="10"/>
            <rFont val="Arial"/>
            <family val="2"/>
          </rPr>
          <t>Berekeningswijze</t>
        </r>
        <r>
          <rPr>
            <sz val="10"/>
            <color indexed="10"/>
            <rFont val="Arial"/>
            <family val="2"/>
          </rPr>
          <t xml:space="preserve"> :
8 m² voor de patiëntenverzorging brancard + rond patiënt staan
1 m² wachtruimte (de plaats van een stoel)
2 m² administratie en ruimte voor hulpverleners
1 m² stockage van materiaal</t>
        </r>
      </text>
    </comment>
    <comment ref="I5" authorId="0" shapeId="0" xr:uid="{00000000-0006-0000-1700-000003000000}">
      <text>
        <r>
          <rPr>
            <sz val="10"/>
            <rFont val="Arial"/>
          </rPr>
          <t>Op basis van de standaardpopulatie werd een incidentie berekend voor levensbedreigende aandoeningen voor een periode van 5 uur (in feite de incidentie van MUG-ritten in het 100-systeem die na regulatie ook nodig blijken te zijn).  De incidentie wordt gegeven voor ene populatie van 10.000 mensen</t>
        </r>
      </text>
    </comment>
    <comment ref="I6" authorId="0" shapeId="0" xr:uid="{00000000-0006-0000-1700-000004000000}">
      <text>
        <r>
          <rPr>
            <sz val="10"/>
            <color indexed="81"/>
            <rFont val="Arial"/>
            <family val="2"/>
          </rPr>
          <t>Op basis van het gebruik van de 100-ambulance in de standaardpopulatie wordt de incidentie van mensen die nood hebben aan een transport naar een ziekenhuis.  De incidentie wordt gegeven voor ene periode van 5 uur en per 10.000 mensen.</t>
        </r>
      </text>
    </comment>
    <comment ref="I7" authorId="0" shapeId="0" xr:uid="{00000000-0006-0000-1700-000005000000}">
      <text>
        <r>
          <rPr>
            <sz val="10"/>
            <color indexed="81"/>
            <rFont val="Arial"/>
            <family val="2"/>
          </rPr>
          <t xml:space="preserve">Op basis van de standaardpopulatie wordt de incidentie gegeven van het aantal mensen die per 5 uur voor een populatie van 10.000 mensen naar de hulppost kunnen komen.
Omdat er quasi geen cijfers bestaan, ben ik uitgegaan van het aantal consulten in een spoedgevallendienst (van huisartsen bestaan geen echte cijfers).  Als sleutel heb ik het aantal 100-ritten genomen en dit vermenigvuldigd met 7 (goed 15 % van de mensen in een spoedgevallendienst komen met een 100-ambulance binnen). </t>
        </r>
      </text>
    </comment>
    <comment ref="I13" authorId="0" shapeId="0" xr:uid="{00000000-0006-0000-1700-000006000000}">
      <text>
        <r>
          <rPr>
            <sz val="10"/>
            <color indexed="81"/>
            <rFont val="Arial"/>
            <family val="2"/>
          </rPr>
          <t>Dit is de overall gemiddelde duur van de behandeling, vetrekkend vanuit een groot aantal manifestaties.  Tot op heden is dit GEEN rekenveld.  Er werd voor geopteerd om hier geen variabel rekenveld te maken, omdat de opsplitsing in grote klassen even arbitrair is als het vastleggen van een gemiddelde  tijd voor alle verzorgingen.
Het altrenatief - een behandelduur per pathologieklasse - is niet haalbaar omdat hiervoor geen statistisch significante gegevens bestaan, noch in B, noch in de medische literatuur.</t>
        </r>
      </text>
    </comment>
    <comment ref="I14" authorId="0" shapeId="0" xr:uid="{00000000-0006-0000-1700-000007000000}">
      <text>
        <r>
          <rPr>
            <u/>
            <sz val="10"/>
            <color indexed="10"/>
            <rFont val="Arial"/>
            <family val="2"/>
          </rPr>
          <t>Berekeningswijze</t>
        </r>
        <r>
          <rPr>
            <sz val="10"/>
            <color indexed="10"/>
            <rFont val="Arial"/>
            <family val="2"/>
          </rPr>
          <t xml:space="preserve"> :
8 m² voor de patiëntenverzorging brancard + rond patiënt staan
1 m² wachtruimte (de plaats van een stoel)
2 m² administratie en ruimte voor hulpverleners
1 m² stockage van materiaal</t>
        </r>
      </text>
    </comment>
    <comment ref="I15" authorId="0" shapeId="0" xr:uid="{00000000-0006-0000-1700-000008000000}">
      <text>
        <r>
          <rPr>
            <sz val="10"/>
            <rFont val="Arial"/>
          </rPr>
          <t>Op basis van de standaardpopulatie werd een incidentie berekend voor levensbedreigende aandoeningen voor een periode van 5 uur (in feite de incidentie van MUG-ritten in het 100-systeem die na regulatie ook nodig blijken te zijn).  De incidentie wordt gegeven voor ene populatie van 10.000 mensen</t>
        </r>
      </text>
    </comment>
    <comment ref="I16" authorId="0" shapeId="0" xr:uid="{00000000-0006-0000-1700-000009000000}">
      <text>
        <r>
          <rPr>
            <sz val="10"/>
            <color indexed="81"/>
            <rFont val="Arial"/>
            <family val="2"/>
          </rPr>
          <t>Op basis van het gebruik van de 100-ambulance in de standaardpopulatie wordt de incidentie van mensen die nood hebben aan een transport naar een ziekenhuis.  De incidentie wordt gegeven voor ene periode van 5 uur en per 10.000 mensen.</t>
        </r>
      </text>
    </comment>
    <comment ref="I17" authorId="0" shapeId="0" xr:uid="{00000000-0006-0000-1700-00000A000000}">
      <text>
        <r>
          <rPr>
            <sz val="10"/>
            <color indexed="81"/>
            <rFont val="Arial"/>
            <family val="2"/>
          </rPr>
          <t xml:space="preserve">Op basis van de standaardpopulatie wordt de incidentie gegeven van het aantal mensen die per 5 uur voor een populatie van 10.000 mensen naar de hulppost kunnen komen.
Omdat er quasi geen cijfers bestaan, ben ik uitgegaan van het aantal consulten in een spoedgevallendienst (van huisartsen bestaan geen echte cijfers).  Als sleutel heb ik het aantal 100-ritten genomen en dit vermenigvuldigd met 7 (goed 15 % van de mensen in een spoedgevallendienst komen met een 100-ambulance binnen).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Wim Haenen</author>
  </authors>
  <commentList>
    <comment ref="G8" authorId="0" shapeId="0" xr:uid="{00000000-0006-0000-1900-000001000000}">
      <text>
        <r>
          <rPr>
            <sz val="10"/>
            <color indexed="56"/>
            <rFont val="Arial"/>
            <family val="2"/>
          </rPr>
          <t>Komt overeen met de ingevulde rijtijd in minuten voor de ambulance (Luik 3 - vraag 1)</t>
        </r>
      </text>
    </comment>
    <comment ref="G9" authorId="0" shapeId="0" xr:uid="{00000000-0006-0000-1900-000002000000}">
      <text>
        <r>
          <rPr>
            <sz val="10"/>
            <color indexed="56"/>
            <rFont val="Arial"/>
            <family val="2"/>
          </rPr>
          <t>Komt overeen met de vertarging die ingevuld werd voor de hulpdiensten (bereikbaarheid - luik 3 - vraag 3)</t>
        </r>
      </text>
    </comment>
    <comment ref="G10" authorId="0" shapeId="0" xr:uid="{00000000-0006-0000-1900-000003000000}">
      <text>
        <r>
          <rPr>
            <sz val="10"/>
            <color indexed="18"/>
            <rFont val="Arial"/>
            <family val="2"/>
          </rPr>
          <t>Komt overeen met het aantal perimeters dat ingevuld werd (luik 3 - vraag 5)</t>
        </r>
      </text>
    </comment>
    <comment ref="G11" authorId="0" shapeId="0" xr:uid="{00000000-0006-0000-1900-000004000000}">
      <text>
        <r>
          <rPr>
            <u/>
            <sz val="10"/>
            <color indexed="10"/>
            <rFont val="Arial"/>
            <family val="2"/>
          </rPr>
          <t>Berekeningswijze</t>
        </r>
        <r>
          <rPr>
            <sz val="10"/>
            <color indexed="10"/>
            <rFont val="Arial"/>
            <family val="2"/>
          </rPr>
          <t xml:space="preserve"> :
Door de tijd te delen door het percentage wrdt de globale tijd berekend.  Daarna wordt de vertraging erbij geteld als gevolg van de perimeter.  Het resultaat is de totale aanrijtijd van de ambulance.</t>
        </r>
      </text>
    </comment>
    <comment ref="G12" authorId="0" shapeId="0" xr:uid="{00000000-0006-0000-1900-000005000000}">
      <text>
        <r>
          <rPr>
            <u/>
            <sz val="10"/>
            <color indexed="10"/>
            <rFont val="Arial"/>
            <family val="2"/>
          </rPr>
          <t xml:space="preserve">Berekeningswijze </t>
        </r>
        <r>
          <rPr>
            <sz val="10"/>
            <color indexed="10"/>
            <rFont val="Arial"/>
            <family val="2"/>
          </rPr>
          <t>:
Op basis van het isolatierisico wordt een schatting gemaakt van de noodzaak aan een ambulance.  Er zijn 3 mogelijkheden :
1. score &lt; 8 min : geen ambulance nodig
2. Score &gt; 15 min : ambulance nodig
3. Score 8-15 : te evalueren volgens andere parameters</t>
        </r>
      </text>
    </comment>
    <comment ref="G18" authorId="0" shapeId="0" xr:uid="{00000000-0006-0000-1900-000006000000}">
      <text>
        <r>
          <rPr>
            <sz val="10"/>
            <color indexed="56"/>
            <rFont val="Arial"/>
            <family val="2"/>
          </rPr>
          <t>Komt overeen met de aanrijtijd van de MUG in minuten (Luik 3 - vraag 2)</t>
        </r>
      </text>
    </comment>
    <comment ref="G19" authorId="0" shapeId="0" xr:uid="{00000000-0006-0000-1900-000007000000}">
      <text>
        <r>
          <rPr>
            <sz val="10"/>
            <color indexed="18"/>
            <rFont val="Arial"/>
            <family val="2"/>
          </rPr>
          <t>Komt overeen met de vertarging die ingevuld werd voor de hulpdiensten (bereikbaarheid - luik 3 - vraag 3)</t>
        </r>
      </text>
    </comment>
    <comment ref="G20" authorId="0" shapeId="0" xr:uid="{00000000-0006-0000-1900-000008000000}">
      <text>
        <r>
          <rPr>
            <sz val="10"/>
            <color indexed="18"/>
            <rFont val="Arial"/>
            <family val="2"/>
          </rPr>
          <t>Komt overeen met het aantal perimeters dat ingevuld werd (luik 3 - vraag 5)</t>
        </r>
      </text>
    </comment>
    <comment ref="G21" authorId="0" shapeId="0" xr:uid="{00000000-0006-0000-1900-000009000000}">
      <text>
        <r>
          <rPr>
            <u/>
            <sz val="10"/>
            <color indexed="10"/>
            <rFont val="Arial"/>
            <family val="2"/>
          </rPr>
          <t>Berekeningswijze</t>
        </r>
        <r>
          <rPr>
            <sz val="10"/>
            <color indexed="10"/>
            <rFont val="Arial"/>
            <family val="2"/>
          </rPr>
          <t xml:space="preserve"> :
Door de tijd te delen door het percentage wrdt de globale tijd berekend.  Daarna wordt de vertraging erbij geteld als gevolg van de perimeter.  Het resultaat is de totale aanrijtijd van de MUG</t>
        </r>
      </text>
    </comment>
    <comment ref="G22" authorId="0" shapeId="0" xr:uid="{00000000-0006-0000-1900-00000A000000}">
      <text>
        <r>
          <rPr>
            <u/>
            <sz val="10"/>
            <color indexed="10"/>
            <rFont val="Arial"/>
            <family val="2"/>
          </rPr>
          <t>Berekeningswijze</t>
        </r>
        <r>
          <rPr>
            <sz val="10"/>
            <color indexed="10"/>
            <rFont val="Arial"/>
            <family val="2"/>
          </rPr>
          <t xml:space="preserve"> :
Op basis van het isolatierisico wordt een schatting gemaakt van de noodzaak aan een MUG.  Er zijn 3 mogelijkheden :
1. score &lt; 10 min : geen MUG nodig
2. Score &gt; 15 min : MUG nodig
3. Score 8-15 : te evalueren volgens andere parameters</t>
        </r>
      </text>
    </comment>
    <comment ref="D29" authorId="0" shapeId="0" xr:uid="{00000000-0006-0000-1900-00000B000000}">
      <text>
        <r>
          <rPr>
            <sz val="8"/>
            <color indexed="81"/>
            <rFont val="Tahoma"/>
            <family val="2"/>
          </rPr>
          <t>De som van de score voor de variabelen die de snelheid beïnvloeden waarmee hulpverleners op terrein kunnen voortbewegen, wordt de BLS-SCORE genoemd</t>
        </r>
      </text>
    </comment>
    <comment ref="G30" authorId="0" shapeId="0" xr:uid="{00000000-0006-0000-1900-00000C000000}">
      <text>
        <r>
          <rPr>
            <u/>
            <sz val="10"/>
            <color indexed="10"/>
            <rFont val="Arial"/>
            <family val="2"/>
          </rPr>
          <t>Berekeningswijze</t>
        </r>
        <r>
          <rPr>
            <sz val="10"/>
            <color indexed="10"/>
            <rFont val="Arial"/>
            <family val="2"/>
          </rPr>
          <t xml:space="preserve"> :
In feite wordt hier een schatting gemaakt van de oppervlakte die 1 BLS-ploeg kan bestrijken.  Op basis van de BLS-score wordt uitegaan van een snelheid van een equipe die kan varieren van 5 km/uur tot 2,5 km/uur (in het geval er veel drukte is die de BLS-ploegen fel vertraagt).  Bij een score van 0 is de snelheid 5 km/uur en dit daalt gradueel tot een score van 8 (2,5 km/uur)</t>
        </r>
      </text>
    </comment>
    <comment ref="G31" authorId="0" shapeId="0" xr:uid="{00000000-0006-0000-1900-00000D000000}">
      <text>
        <r>
          <rPr>
            <u/>
            <sz val="10"/>
            <color indexed="10"/>
            <rFont val="Arial"/>
            <family val="2"/>
          </rPr>
          <t>Berekeningswijze</t>
        </r>
        <r>
          <rPr>
            <sz val="10"/>
            <color indexed="10"/>
            <rFont val="Arial"/>
            <family val="2"/>
          </rPr>
          <t xml:space="preserve"> :
Wanneer er geen enkele noodzaak is om een medische antenne te plaatsen, zal dit item automatisch op 0 gezet worden.  Indien er wel een noodzaak blijkt, zal dit item de verhouding geven van de oppervlakte waar mensen bijeen staan en de oppervlakte die door een BLS-ploeg kan bestreken worden.</t>
        </r>
      </text>
    </comment>
    <comment ref="G37" authorId="0" shapeId="0" xr:uid="{00000000-0006-0000-1900-00000E000000}">
      <text>
        <r>
          <rPr>
            <u/>
            <sz val="10"/>
            <color indexed="10"/>
            <rFont val="Arial"/>
            <family val="2"/>
          </rPr>
          <t>Berekeningswijze</t>
        </r>
        <r>
          <rPr>
            <sz val="10"/>
            <color indexed="10"/>
            <rFont val="Arial"/>
            <family val="2"/>
          </rPr>
          <t xml:space="preserve"> :
Wanneer er geen omwonenden zijn en/of uit de risico-analyse blijkt dat er niets moet gebeuren, zal dit automatisch op NEEN staan, anders zal dit veld JA geven.  Meteen de reden waarom alles goed moet ingevuld worden in luik 3 !</t>
        </r>
      </text>
    </comment>
    <comment ref="G43" authorId="0" shapeId="0" xr:uid="{00000000-0006-0000-1900-00000F000000}">
      <text>
        <r>
          <rPr>
            <u/>
            <sz val="10"/>
            <color indexed="10"/>
            <rFont val="Arial"/>
            <family val="2"/>
          </rPr>
          <t>Berekeningswijze</t>
        </r>
        <r>
          <rPr>
            <sz val="10"/>
            <color indexed="10"/>
            <rFont val="Arial"/>
            <family val="2"/>
          </rPr>
          <t xml:space="preserve"> :
Schatting van het aantal ambulances volgens het criterium populatie (en enkel dit criterium) !
&lt; 5.000 : geen ambulance
5.001-10.000 : 1 ambulance
10.001 - 20.000 : 2 ambulances
Per begonnen schijf van 20.000 een extra ambulance met een maximum van 8 ambulances</t>
        </r>
      </text>
    </comment>
    <comment ref="G44" authorId="0" shapeId="0" xr:uid="{00000000-0006-0000-1900-000010000000}">
      <text>
        <r>
          <rPr>
            <u/>
            <sz val="10"/>
            <color indexed="10"/>
            <rFont val="Arial"/>
            <family val="2"/>
          </rPr>
          <t>Berekeningswijze</t>
        </r>
        <r>
          <rPr>
            <sz val="10"/>
            <color indexed="10"/>
            <rFont val="Arial"/>
            <family val="2"/>
          </rPr>
          <t xml:space="preserve"> :
Berekening van het aantal MUG'n, enkel volgens het populatierisico :
&lt; 40.000 : geen MUG
40.001-120.000 : 1 MUG
&gt; 120.001 : 2 MUG'n</t>
        </r>
      </text>
    </comment>
    <comment ref="G52" authorId="0" shapeId="0" xr:uid="{00000000-0006-0000-1900-000011000000}">
      <text>
        <r>
          <rPr>
            <u/>
            <sz val="10"/>
            <color indexed="10"/>
            <rFont val="Arial"/>
            <family val="2"/>
          </rPr>
          <t>Berekeningswijze</t>
        </r>
        <r>
          <rPr>
            <sz val="10"/>
            <color indexed="10"/>
            <rFont val="Arial"/>
            <family val="2"/>
          </rPr>
          <t xml:space="preserve"> :
Dit veld geeft een zekere inschatting weer van het ziekterisico op de workload van de medische dienst in de tekst "verzwaringsfactor" genoemd).  Dit gebeurt door een (overigens arbitraire) zwaarte te koppelen aan het ziekterisico, wat de verdeling van T1/T2/T3 bepaalt.  Actueel wordt de volgende verdeling gebruikt :
Ziekterisico &lt; 44 (0-40%) : verzwaringsfactor =1
Ziekterisico &lt; 66 (41-60%) : verzwaringsfactor = 2
Ziekterisico &lt; 87 (61-80%) : verzwaringsfactor =3
Ziekterisico &lt; 98 (80-90%) : verzwaringsfacor = 4
Ziekterisico is 98 (&gt;90%) of groter : verzwaringsfactor = 6
</t>
        </r>
        <r>
          <rPr>
            <b/>
            <i/>
            <sz val="10"/>
            <color indexed="18"/>
            <rFont val="Arial"/>
            <family val="2"/>
          </rPr>
          <t>Deze rekenwijze kan nog wijzigen wanneer voldoende analyses gemaakt zijn om dit te evalueren</t>
        </r>
        <r>
          <rPr>
            <b/>
            <sz val="10"/>
            <color indexed="10"/>
            <rFont val="Arial"/>
            <family val="2"/>
          </rPr>
          <t>.</t>
        </r>
      </text>
    </comment>
    <comment ref="G55" authorId="0" shapeId="0" xr:uid="{00000000-0006-0000-1900-000012000000}">
      <text>
        <r>
          <rPr>
            <sz val="10"/>
            <color indexed="81"/>
            <rFont val="Arial"/>
            <family val="2"/>
          </rPr>
          <t>Dit is de overall gemiddelde duur van de behandeling, vetrekkend vanuit een groot aantal manifestaties.  Tot op heden is dit GEEN rekenveld.  Er werd voor geopteerd om hier geen variabel rekenveld te maken, omdat de opsplitsing in grote klassen even arbitrair is als het vastleggen van een gemiddelde  tijd voor alle verzorgingen.
Het altrenatief - een behandelduur per pathologieklasse - is niet haalbaar omdat hiervoor geen statistisch significante gegevens bestaan, noch in B, noch in de medische literatuur.</t>
        </r>
      </text>
    </comment>
    <comment ref="G56" authorId="0" shapeId="0" xr:uid="{00000000-0006-0000-1900-000013000000}">
      <text>
        <r>
          <rPr>
            <u/>
            <sz val="10"/>
            <color indexed="10"/>
            <rFont val="Arial"/>
            <family val="2"/>
          </rPr>
          <t>Berekeningswijze</t>
        </r>
        <r>
          <rPr>
            <sz val="10"/>
            <color indexed="10"/>
            <rFont val="Arial"/>
            <family val="2"/>
          </rPr>
          <t xml:space="preserve"> :
8 m² voor de patiëntenverzorging brancard + rond patiënt staan
1 m² wachtruimte (de plaats van een stoel)
2 m² administratie en ruimte voor hulpverleners
1 m² stockage van materiaal</t>
        </r>
      </text>
    </comment>
    <comment ref="G57" authorId="0" shapeId="0" xr:uid="{00000000-0006-0000-1900-000014000000}">
      <text>
        <r>
          <rPr>
            <sz val="10"/>
            <rFont val="Arial"/>
          </rPr>
          <t>Op basis van de standaardpopulatie werd een incidentie berekend voor levensbedreigende aandoeningen voor een periode van 5 uur (in feite de incidentie van MUG-ritten in het 100-systeem die na regulatie ook nodig blijken te zijn).  De incidentie wordt gegeven voor ene populatie van 10.000 mensen</t>
        </r>
      </text>
    </comment>
    <comment ref="G58" authorId="0" shapeId="0" xr:uid="{00000000-0006-0000-1900-000015000000}">
      <text>
        <r>
          <rPr>
            <sz val="10"/>
            <color indexed="81"/>
            <rFont val="Arial"/>
            <family val="2"/>
          </rPr>
          <t>Op basis van het gebruik van de 100-ambulance in de standaardpopulatie wordt de incidentie van mensen die nood hebben aan een transport naar een ziekenhuis.  De incidentie wordt gegeven voor ene periode van 5 uur en per 10.000 mensen.</t>
        </r>
      </text>
    </comment>
    <comment ref="G59" authorId="0" shapeId="0" xr:uid="{00000000-0006-0000-1900-000016000000}">
      <text>
        <r>
          <rPr>
            <sz val="10"/>
            <color indexed="81"/>
            <rFont val="Arial"/>
            <family val="2"/>
          </rPr>
          <t xml:space="preserve">Op basis van de standaardpopulatie wordt de incidentie gegeven van het aantal mensen die per 5 uur voor een populatie van 10.000 mensen naar de hulppost kunnen komen.
Omdat er quasi geen cijfers bestaan, ben ik uitgegaan van het aantal consulten in een spoedgevallendienst (van huisartsen bestaan geen echte cijfers).  Als sleutel heb ik het aantal 100-ritten genomen en dit vermenigvuldigd met 7 (goed 15 % van de mensen in een spoedgevallendienst komen met een 100-ambulance binnen). </t>
        </r>
      </text>
    </comment>
    <comment ref="G62" authorId="0" shapeId="0" xr:uid="{00000000-0006-0000-1900-000017000000}">
      <text>
        <r>
          <rPr>
            <u/>
            <sz val="10"/>
            <color indexed="10"/>
            <rFont val="Arial"/>
            <family val="2"/>
          </rPr>
          <t>Berekeningswijze</t>
        </r>
        <r>
          <rPr>
            <sz val="10"/>
            <color indexed="10"/>
            <rFont val="Arial"/>
            <family val="2"/>
          </rPr>
          <t xml:space="preserve"> :
[(Totale populatie)*(duur van de manifestatie in uur/5)*(score ziekterisico/3)*aantal levensbedreigende aandoeningen)]/10.000 * verzwaringsfactor/5
</t>
        </r>
        <r>
          <rPr>
            <i/>
            <sz val="10"/>
            <color indexed="10"/>
            <rFont val="Arial"/>
            <family val="2"/>
          </rPr>
          <t>Zekere elementen hierin</t>
        </r>
        <r>
          <rPr>
            <sz val="10"/>
            <color indexed="10"/>
            <rFont val="Arial"/>
            <family val="2"/>
          </rPr>
          <t xml:space="preserve"> :
1/5 van de duur van de manifestatie en delen door 10.000, omdat de incidentie per 5 uur en per 10.000 mensen herberekend werd.</t>
        </r>
        <r>
          <rPr>
            <sz val="10"/>
            <color indexed="81"/>
            <rFont val="Arial"/>
            <family val="2"/>
          </rPr>
          <t xml:space="preserve">
</t>
        </r>
        <r>
          <rPr>
            <b/>
            <i/>
            <sz val="10"/>
            <color indexed="18"/>
            <rFont val="Arial"/>
            <family val="2"/>
          </rPr>
          <t xml:space="preserve">Elementen ter discussie en waar aangepast kan worden </t>
        </r>
        <r>
          <rPr>
            <sz val="10"/>
            <color indexed="18"/>
            <rFont val="Arial"/>
            <family val="2"/>
          </rPr>
          <t>:
Alvorens door 10.000 te delen, wordt 1/3 van de score van het ziekterisico genomen.
De hele breuk wordt vermenigvuldigd met 1/5 van de verzwaringsfactor.</t>
        </r>
        <r>
          <rPr>
            <sz val="10"/>
            <color indexed="81"/>
            <rFont val="Arial"/>
            <family val="2"/>
          </rPr>
          <t xml:space="preserve">
</t>
        </r>
      </text>
    </comment>
    <comment ref="G63" authorId="0" shapeId="0" xr:uid="{00000000-0006-0000-1900-000018000000}">
      <text>
        <r>
          <rPr>
            <u/>
            <sz val="10"/>
            <color indexed="10"/>
            <rFont val="Arial"/>
            <family val="2"/>
          </rPr>
          <t>Berekeningswijze</t>
        </r>
        <r>
          <rPr>
            <sz val="10"/>
            <color indexed="10"/>
            <rFont val="Arial"/>
            <family val="2"/>
          </rPr>
          <t xml:space="preserve"> :
Idem aan de vorige berekening, maar in plaats van te vermenigvuldigen met </t>
        </r>
        <r>
          <rPr>
            <i/>
            <sz val="10"/>
            <color indexed="10"/>
            <rFont val="Arial"/>
            <family val="2"/>
          </rPr>
          <t>aantal levensbedreigende aandoeningen</t>
        </r>
        <r>
          <rPr>
            <sz val="10"/>
            <color indexed="10"/>
            <rFont val="Arial"/>
            <family val="2"/>
          </rPr>
          <t xml:space="preserve"> wordt het vermenigvuldigd met </t>
        </r>
        <r>
          <rPr>
            <i/>
            <sz val="10"/>
            <color indexed="10"/>
            <rFont val="Arial"/>
            <family val="2"/>
          </rPr>
          <t xml:space="preserve">het aantal dringende aandoeningen
</t>
        </r>
        <r>
          <rPr>
            <i/>
            <sz val="10"/>
            <color indexed="18"/>
            <rFont val="Arial"/>
            <family val="2"/>
          </rPr>
          <t>Opmerking :</t>
        </r>
        <r>
          <rPr>
            <sz val="10"/>
            <color indexed="18"/>
            <rFont val="Arial"/>
            <family val="2"/>
          </rPr>
          <t xml:space="preserve">
Dezelfde beperkingen en aanpassingen als de vorige formule</t>
        </r>
      </text>
    </comment>
    <comment ref="G64" authorId="0" shapeId="0" xr:uid="{00000000-0006-0000-1900-000019000000}">
      <text>
        <r>
          <rPr>
            <u/>
            <sz val="10"/>
            <color indexed="10"/>
            <rFont val="Arial"/>
            <family val="2"/>
          </rPr>
          <t>Berekeningswijze : ZEER COMPLEX !!!</t>
        </r>
        <r>
          <rPr>
            <sz val="10"/>
            <color indexed="10"/>
            <rFont val="Arial"/>
            <family val="2"/>
          </rPr>
          <t xml:space="preserve">
1. [(Verzorgingen + verzorgingen*0,86 + verzorgingen*0,86/100) - dringende aandoeningen - levensbedreigende aandoeningen].
2. De verzorgingen worden berekend naar analogie met de levensbedreigende aandoeningen, doch met </t>
        </r>
        <r>
          <rPr>
            <i/>
            <sz val="10"/>
            <color indexed="10"/>
            <rFont val="Arial"/>
            <family val="2"/>
          </rPr>
          <t>aantal vragen voor medische verzorging</t>
        </r>
        <r>
          <rPr>
            <sz val="10"/>
            <color indexed="10"/>
            <rFont val="Arial"/>
            <family val="2"/>
          </rPr>
          <t xml:space="preserve"> ipv </t>
        </r>
        <r>
          <rPr>
            <i/>
            <sz val="10"/>
            <color indexed="10"/>
            <rFont val="Arial"/>
            <family val="2"/>
          </rPr>
          <t>aantal levensebdreigende aandoeningen</t>
        </r>
        <r>
          <rPr>
            <sz val="10"/>
            <color indexed="10"/>
            <rFont val="Arial"/>
            <family val="2"/>
          </rPr>
          <t xml:space="preserve">.
3. om een goed beeld te hebben van het aantal verzorgingen, werd eerst een verhouding berekend om tot een totaal aantal te komen.  Deze verhouding werd geschat op basis van de reële cijfers voor ambulancevervoer en/of voor MUG-pathologie
</t>
        </r>
        <r>
          <rPr>
            <b/>
            <sz val="10"/>
            <color indexed="18"/>
            <rFont val="Arial"/>
            <family val="2"/>
          </rPr>
          <t>Aanpassingen aan de formule
1. Dezelfde aanpassingen als in de vorige formules
2. Aanpassingen in de verhouding van U1, U2 en U3</t>
        </r>
      </text>
    </comment>
    <comment ref="G65" authorId="0" shapeId="0" xr:uid="{00000000-0006-0000-1900-00001A000000}">
      <text>
        <r>
          <rPr>
            <u/>
            <sz val="10"/>
            <color indexed="10"/>
            <rFont val="Arial"/>
            <family val="2"/>
          </rPr>
          <t>Berekeningswijze</t>
        </r>
        <r>
          <rPr>
            <sz val="10"/>
            <color indexed="10"/>
            <rFont val="Arial"/>
            <family val="2"/>
          </rPr>
          <t xml:space="preserve"> :
som van de patiënten</t>
        </r>
      </text>
    </comment>
    <comment ref="G66" authorId="0" shapeId="0" xr:uid="{00000000-0006-0000-1900-00001B000000}">
      <text>
        <r>
          <rPr>
            <u/>
            <sz val="10"/>
            <color indexed="10"/>
            <rFont val="Arial"/>
            <family val="2"/>
          </rPr>
          <t>Berekeningswijze</t>
        </r>
        <r>
          <rPr>
            <sz val="10"/>
            <color indexed="10"/>
            <rFont val="Arial"/>
            <family val="2"/>
          </rPr>
          <t xml:space="preserve"> :
De workload voor de hulppost is niet egaal verdeeld over de duur van de maniestatie.  Om dit enigszins op te vangen ga ik uit van een verdeling waarbij de helft van de patiënten op een kwart van de duur van de manifestatie op de hulppost komt.  De duur van de behandeling is empirisch bepaald en bedraagt gemiddeld 12 minuten (cel G54).  Dit kan aangepast worden zo nodig.</t>
        </r>
      </text>
    </comment>
    <comment ref="G67" authorId="0" shapeId="0" xr:uid="{00000000-0006-0000-1900-00001C000000}">
      <text>
        <r>
          <rPr>
            <u/>
            <sz val="10"/>
            <color indexed="10"/>
            <rFont val="Arial"/>
            <family val="2"/>
          </rPr>
          <t xml:space="preserve">Berekeningswijze </t>
        </r>
        <r>
          <rPr>
            <sz val="10"/>
            <color indexed="10"/>
            <rFont val="Arial"/>
            <family val="2"/>
          </rPr>
          <t xml:space="preserve">:
1. Wanneer er geen medische antenne nodig is, zal hier geen reultaat gegeven worden.
2. Wanneer er daarentegen wel een medische antenne nodig is, wordt hier het afgeronde INTEGER-getal gegeven worden + 1, en dan vermenigvuldigd met de oppervlakte die per patiënt nodig is (bepaald in cel G55).
</t>
        </r>
        <r>
          <rPr>
            <b/>
            <sz val="10"/>
            <color indexed="18"/>
            <rFont val="Arial"/>
            <family val="2"/>
          </rPr>
          <t>Opmerking ter evaluatie : nazien of er hier geen overschatting is van kleinere manifestaties.</t>
        </r>
      </text>
    </comment>
    <comment ref="G72" authorId="0" shapeId="0" xr:uid="{00000000-0006-0000-1900-00001D000000}">
      <text>
        <r>
          <rPr>
            <sz val="10"/>
            <rFont val="Arial"/>
          </rPr>
          <t>Omdat dit een kwalitatieve evaluatie is, wordt een opdracht gegeven</t>
        </r>
      </text>
    </comment>
    <comment ref="G73" authorId="0" shapeId="0" xr:uid="{00000000-0006-0000-1900-00001E000000}">
      <text>
        <r>
          <rPr>
            <sz val="10"/>
            <color indexed="81"/>
            <rFont val="Arial"/>
            <family val="2"/>
          </rPr>
          <t>Omdat dit een kwalitatieve evaluatie is, wordt een opdracht gegeven</t>
        </r>
      </text>
    </comment>
    <comment ref="G91" authorId="0" shapeId="0" xr:uid="{00000000-0006-0000-1900-00001F000000}">
      <text>
        <r>
          <rPr>
            <u/>
            <sz val="10"/>
            <color indexed="10"/>
            <rFont val="Arial"/>
            <family val="2"/>
          </rPr>
          <t>Berekeningswijze</t>
        </r>
        <r>
          <rPr>
            <sz val="10"/>
            <color indexed="10"/>
            <rFont val="Arial"/>
            <family val="2"/>
          </rPr>
          <t xml:space="preserve"> :
Indien de (maximale) workload minder is dan simultaan 2 mensen, is de druk op de medische antenne laag en kom men toe met het minimalistische schema.
Indien er 2 of meer mensen simultaan behandeld zorden, hangt het af van de CP-OPS.  Indien deze volledig bemand is, gaat men uit van een grote dru op het systeem en s het maximale communicatieschema nodig.  In alle andere gevallen is het het intermediair communicatieschema</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Wim Haenen</author>
  </authors>
  <commentList>
    <comment ref="E21" authorId="0" shapeId="0" xr:uid="{00000000-0006-0000-1A00-000001000000}">
      <text>
        <r>
          <rPr>
            <sz val="9"/>
            <color indexed="10"/>
            <rFont val="Arial"/>
            <family val="2"/>
          </rPr>
          <t xml:space="preserve">Berekeningswijze :
1. Wanneer er volgens het populatierisico minstens 1 ambulance nodig is, wordt hier het aantal van het populatierisico gegeven.
2. Wanneer de kans op een ambulancevervoer groter is dan 1 vervoer op 2 uur (dus volgens het ziekterisico) moet er ook een ambulance geplaatst worden.
3. Wanneer de kans op een vervoer lager is dan 1 om de 2 uur en er geen ambulance nodig is volgens het populatierisico, moet er toch een ambulance geplaatts worden wanneer de afstand tot het dichtsbijzijnde middel meer dan 15 minuten bedraagt.  
</t>
        </r>
        <r>
          <rPr>
            <sz val="9"/>
            <color indexed="81"/>
            <rFont val="Arial"/>
            <family val="2"/>
          </rPr>
          <t xml:space="preserve">
</t>
        </r>
        <r>
          <rPr>
            <b/>
            <sz val="9"/>
            <color indexed="18"/>
            <rFont val="Arial"/>
            <family val="2"/>
          </rPr>
          <t>Opmerking : het blijft een empirische benadering te zeggen dat een ambulance nodig is vanaf een zekere workload, die hier bepaald is op 1 (berekend) vervoer per 2 uur.</t>
        </r>
      </text>
    </comment>
    <comment ref="E22" authorId="0" shapeId="0" xr:uid="{00000000-0006-0000-1A00-000002000000}">
      <text>
        <r>
          <rPr>
            <u/>
            <sz val="10"/>
            <color indexed="10"/>
            <rFont val="Arial"/>
            <family val="2"/>
          </rPr>
          <t>Berekeningswijze</t>
        </r>
        <r>
          <rPr>
            <sz val="10"/>
            <color indexed="10"/>
            <rFont val="Arial"/>
            <family val="2"/>
          </rPr>
          <t xml:space="preserve"> :
1. Wanneer er volgens het populatierisico minstens 1 MUG nodig is, wordt hier het aantal van het populatierisico gegeven.
2. Wanneer er geen MUG nodig is volgens het populatierisico, moet er toch een MUG geplaatst worden wanneer de kans op een MUG-aandoening groter is dan 1 op 3 uur (dus volgens het ziekterisico)
3. Wanneer er volgens het populatierisico GEEN MUG nodig is en de kans op een levensbedreigende aandoening minder is dan 1 op 3 uur (dus wanneer er niet teveel mensen zijn én de manifestatie medisch gezien geen verhoogde kans op MUG-interventies geeft), moet zeker geen MUG geplaatst worden wanneer de populatie minder is dan 10.000 mensen.
4. Wanneer aan alle vorige vereisten niet voldaan is, moet er toch een MUG geplaatst worden wanneer de dichtsbijzijnde MUG op meer dan 20 minuten rijden ligt
</t>
        </r>
        <r>
          <rPr>
            <b/>
            <sz val="10"/>
            <color indexed="18"/>
            <rFont val="Arial"/>
            <family val="2"/>
          </rPr>
          <t>Opmerking :  het is en blijft een zekere empirische benadering om een afkappunt op 30 % te zetten (dus grosso modo 1 om de 3 uur)</t>
        </r>
      </text>
    </comment>
    <comment ref="E24" authorId="0" shapeId="0" xr:uid="{00000000-0006-0000-1A00-000003000000}">
      <text>
        <r>
          <rPr>
            <u/>
            <sz val="10"/>
            <color indexed="10"/>
            <rFont val="Arial"/>
            <family val="2"/>
          </rPr>
          <t>Berekeningswijze</t>
        </r>
        <r>
          <rPr>
            <sz val="10"/>
            <color indexed="10"/>
            <rFont val="Arial"/>
            <family val="2"/>
          </rPr>
          <t xml:space="preserve"> :
2 hulpverleners per patiënt, wat betekent dat dit het dubbel is van het aantal simultane behandelingen in de hulppost.</t>
        </r>
      </text>
    </comment>
    <comment ref="K24" authorId="0" shapeId="0" xr:uid="{00000000-0006-0000-1A00-000004000000}">
      <text>
        <r>
          <rPr>
            <sz val="9"/>
            <color indexed="10"/>
            <rFont val="Arial"/>
            <family val="2"/>
          </rPr>
          <t xml:space="preserve">Berekeningswijze :
1. Wanneer er volgens het populatierisico minstens 1 ambulance nodig is, wordt hier het aantal van het populatierisico gegeven.
2. Wanneer de kans op een ambulancevervoer groter is dan 1 vervoer op 2 uur (dus volgens het ziekterisico) moet er ook een ambulance geplaatst worden.
3. Wanneer de kans op een vervoer lager is dan 1 om de 2 uur en er geen ambulance nodig is volgens het populatierisico, moet er toch een ambulance geplaatts worden wanneer de afstand tot het dichtsbijzijnde middel meer dan 15 minuten bedraagt.  
</t>
        </r>
        <r>
          <rPr>
            <sz val="9"/>
            <color indexed="81"/>
            <rFont val="Arial"/>
            <family val="2"/>
          </rPr>
          <t xml:space="preserve">
</t>
        </r>
        <r>
          <rPr>
            <b/>
            <sz val="9"/>
            <color indexed="18"/>
            <rFont val="Arial"/>
            <family val="2"/>
          </rPr>
          <t>Opmerking : het blijft een empirische benadering te zeggen dat een ambulance nodig is vanaf een zekere workload, die hier bepaald is op 1 (berekend) vervoer per 2 uur.</t>
        </r>
      </text>
    </comment>
    <comment ref="E25" authorId="0" shapeId="0" xr:uid="{00000000-0006-0000-1A00-000005000000}">
      <text>
        <r>
          <rPr>
            <u/>
            <sz val="10"/>
            <color indexed="10"/>
            <rFont val="Arial"/>
            <family val="2"/>
          </rPr>
          <t>Berekeningswijze</t>
        </r>
        <r>
          <rPr>
            <sz val="10"/>
            <color indexed="10"/>
            <rFont val="Arial"/>
            <family val="2"/>
          </rPr>
          <t xml:space="preserve"> :
</t>
        </r>
        <r>
          <rPr>
            <b/>
            <sz val="10"/>
            <color indexed="18"/>
            <rFont val="Arial"/>
            <family val="2"/>
          </rPr>
          <t>Dit is wel een zeer empirische benadering, dus elke aanpassing is welkom.  Dit veld staat aan evaluatie op korte termijn bloot !!</t>
        </r>
        <r>
          <rPr>
            <sz val="10"/>
            <color indexed="10"/>
            <rFont val="Arial"/>
            <family val="2"/>
          </rPr>
          <t xml:space="preserve">
Een verpleegkundige wordt ingezet in 80% van de patiënten die naar een ziekenhuis moeten gevoerd worden en in 40% van de patiënten die moeten verzorgd worden.  
De duur van het werk van de verpleegkunidge is bij een dergelijke patiënt 15 minuten en de helft van deze patiënten komt in een kwart van de tijd (vandaar een verdubbeling van het aantal dat op basis van de patiëntengetallen berekend werd)</t>
        </r>
      </text>
    </comment>
    <comment ref="E26" authorId="0" shapeId="0" xr:uid="{00000000-0006-0000-1A00-000006000000}">
      <text>
        <r>
          <rPr>
            <u/>
            <sz val="10"/>
            <color indexed="10"/>
            <rFont val="Arial"/>
            <family val="2"/>
          </rPr>
          <t>Berekeningswijze</t>
        </r>
        <r>
          <rPr>
            <sz val="10"/>
            <color indexed="10"/>
            <rFont val="Arial"/>
            <family val="2"/>
          </rPr>
          <t xml:space="preserve"> :
</t>
        </r>
        <r>
          <rPr>
            <b/>
            <sz val="10"/>
            <color indexed="18"/>
            <rFont val="Arial"/>
            <family val="2"/>
          </rPr>
          <t>Dit is wel een empirische benadering, en het veld staat aan evaluatie op korte termijn bloot !!</t>
        </r>
        <r>
          <rPr>
            <sz val="10"/>
            <color indexed="10"/>
            <rFont val="Arial"/>
            <family val="2"/>
          </rPr>
          <t xml:space="preserve">
Artsen worden ingezet bij 80% van de patiënten die naar het ziekenhuis moeten vervoerd worden (20% wordt gezien door de MUG) en bij 1/5 van de patiënten die een eenvoudige verzorging nodig hebben.  Een verzorging oor een arts duurt 12 minuten en de elft van de verzorgingen komen in een kwart van de tijd voor
</t>
        </r>
      </text>
    </comment>
  </commentList>
</comments>
</file>

<file path=xl/sharedStrings.xml><?xml version="1.0" encoding="utf-8"?>
<sst xmlns="http://schemas.openxmlformats.org/spreadsheetml/2006/main" count="4080" uniqueCount="2331">
  <si>
    <t>Er moet voldoende aandacht zijn voor preventie van zonverbranding.  Dit moet voor de manifestatie gebeuren.  Zorg ervoor dat de mensen die zonnebrandcrème, zonnebril en een hoed bij hebben dit mee mogen nemen op de manifestatie.</t>
  </si>
  <si>
    <t>ALLE ANDERE EVENEMENTEN</t>
  </si>
  <si>
    <t>Autosport</t>
  </si>
  <si>
    <t>Bazar</t>
  </si>
  <si>
    <t>Beurs</t>
  </si>
  <si>
    <t>Alle andere betogingen</t>
  </si>
  <si>
    <t>Braderie</t>
  </si>
  <si>
    <t>Competitiesport</t>
  </si>
  <si>
    <t>Concert van klassieke muziek</t>
  </si>
  <si>
    <t>Danssportevenement</t>
  </si>
  <si>
    <t>Evenement met techno/house en/of aanverwante muziekvorm</t>
  </si>
  <si>
    <t>Folkloristisch feest</t>
  </si>
  <si>
    <t>Karnaval</t>
  </si>
  <si>
    <t>Kerstmarkt</t>
  </si>
  <si>
    <t>Kleine (aangekondigde) betoging</t>
  </si>
  <si>
    <t>Marathon</t>
  </si>
  <si>
    <t>BRUXELLES--1</t>
  </si>
  <si>
    <t>CENTRE HOSPITALIER UNIV. ST.PIERRE</t>
  </si>
  <si>
    <t>RUE HAUTE 322</t>
  </si>
  <si>
    <t>1020</t>
  </si>
  <si>
    <t>BRUXELLES--2</t>
  </si>
  <si>
    <t>CENTRE HOSPITALIER UNIVERSITAIRE BRUGMANN</t>
  </si>
  <si>
    <t>PLACE A. VAN GEHUCHTEN 4</t>
  </si>
  <si>
    <t>HOPITAL UNIV. DES ENFANTS REINE FABIOLA</t>
  </si>
  <si>
    <t>AVENUE J.J. CROCQ 15</t>
  </si>
  <si>
    <t>1040</t>
  </si>
  <si>
    <t>BRUXELLES--4</t>
  </si>
  <si>
    <t>HOPITAUX IRIS SUD - IRIS ZIEKENHUIZEN ZUID</t>
  </si>
  <si>
    <t>RUE BARON LAMBERT 38</t>
  </si>
  <si>
    <t>1070</t>
  </si>
  <si>
    <t>BRUXELLES--7</t>
  </si>
  <si>
    <t>CLINIQUES UNIV. DE BRUXELLES - HOPITAL ERASME</t>
  </si>
  <si>
    <t>ROUTE DE LENNIK 808</t>
  </si>
  <si>
    <t>- vermoedelijke inzet = 0 ==&gt; printen (geen advies FOD)
- vermoedelijke inzet &lt;&gt; 0 ==&gt; mailen (advies van FOD)
+ controle op invullen luik 1
+ contorle op invullen luik 2
+ contorle op invullen luik 4
+ contorle op invullen luik 3</t>
  </si>
  <si>
    <t>6 (F13)
1 (F4)
3 (F6)
5 (F8)
4 (F7)</t>
  </si>
  <si>
    <t>afprinten luik 6 - 7 - 8</t>
  </si>
  <si>
    <t>huisarts van wacht nodig binnen perimeter</t>
  </si>
  <si>
    <t>Verpleegkundige van wacht nodig binnen perimeter</t>
  </si>
  <si>
    <t>maaltijdbezorging noodzakelijkbinnen perimeter</t>
  </si>
  <si>
    <t xml:space="preserve">apotheker van wacht binnen perimeter </t>
  </si>
  <si>
    <t>Aantal betrokken gemeenten</t>
  </si>
  <si>
    <t>Meer dan 1</t>
  </si>
  <si>
    <t>BEVRAGING</t>
  </si>
  <si>
    <t>INGEVULD AANTAL</t>
  </si>
  <si>
    <t>DE AFSTAND VAN DE MANIFESTATIE TOT DE DICHTSBIJZIJNDE AMBULANCE IN MINUTEN</t>
  </si>
  <si>
    <t>DE AFSTAND VAN DE MANIFESTATIE TOT DE DICHTSBIJZIJNDE MUG IN MINUTEN</t>
  </si>
  <si>
    <t>TOTAAL</t>
  </si>
  <si>
    <t>IN REKENING TE BRENGEN POPULATIE</t>
  </si>
  <si>
    <t>verwacht aantal bezoekers</t>
  </si>
  <si>
    <t>verwacht aantal deelnemers</t>
  </si>
  <si>
    <t>verwacht aantal mensen van de organisatie op de manifestatie</t>
  </si>
  <si>
    <t>verwacht aantal hulpverleners</t>
  </si>
  <si>
    <t>aantal omwonenden binnen isolatieperimeter</t>
  </si>
  <si>
    <t>Vermindering door shift van populatie</t>
  </si>
  <si>
    <t>TOTALE MANIFESTATIEPOPULATIE</t>
  </si>
  <si>
    <t>R1 : RISCO-AS 1 : ISOLATIERISICO</t>
  </si>
  <si>
    <t>R2 : RISICO-AS 2 : POPULATIERISICO</t>
  </si>
  <si>
    <t>R3 : RISICO-AS 3 : ZIEKTERISICO</t>
  </si>
  <si>
    <t>LEEFTIJD</t>
  </si>
  <si>
    <t>Overwegende leeftijd</t>
  </si>
  <si>
    <t>Alle leeftijden</t>
  </si>
  <si>
    <t>° 10-20 jaar
° 35-65 jaar</t>
  </si>
  <si>
    <t>° &lt; 10 jaar
° 20-35 jaar</t>
  </si>
  <si>
    <t>Brandweer MERELBEKE</t>
  </si>
  <si>
    <t>KLOOSTERSTRAAT 28</t>
  </si>
  <si>
    <t>HAMME</t>
  </si>
  <si>
    <t>Brandweer HAMME</t>
  </si>
  <si>
    <t>DAMSTRAAT 64</t>
  </si>
  <si>
    <t>Aantal uur dat een persoon gemiddeld op de manifestatie blijft</t>
  </si>
  <si>
    <t>Maximaal aantal mensen die tezamen aanwezig zijn</t>
  </si>
  <si>
    <t>Opmerking : het model ging uit van volgende schatting</t>
  </si>
  <si>
    <t>BEZOEKERS VAN DE MANIFESTATIE</t>
  </si>
  <si>
    <t>MEDISCHE WORKLOAD</t>
  </si>
  <si>
    <t>Aantal mensen met een potentieel levensbedreigende aandoening (T1)</t>
  </si>
  <si>
    <t>Aantal mensen met een dringende aandoening (T2)</t>
  </si>
  <si>
    <t>Aantal mensen die kwamen voor een eenvoudige verzorging (T3)</t>
  </si>
  <si>
    <t>VARIABELEN</t>
  </si>
  <si>
    <t>Gemiddelde temperatuur op de manifestatie (schatting)</t>
  </si>
  <si>
    <t>Alcoholverbruik</t>
  </si>
  <si>
    <t>Druggebruik</t>
  </si>
  <si>
    <t>Overwegende leeftijd van het publiek</t>
  </si>
  <si>
    <t>% van het aantal mensen</t>
  </si>
  <si>
    <t xml:space="preserve">% van de duur </t>
  </si>
  <si>
    <t>Hier werd geen schatting voor gegeven</t>
  </si>
  <si>
    <t>aantallen</t>
  </si>
  <si>
    <t>Alcohol gebruik</t>
  </si>
  <si>
    <t>Drug gebruik</t>
  </si>
  <si>
    <t>Overwe-gende leeftijd</t>
  </si>
  <si>
    <t>variabelen</t>
  </si>
  <si>
    <t>t° C</t>
  </si>
  <si>
    <t>alcoholgebruik</t>
  </si>
  <si>
    <t>druggebruik</t>
  </si>
  <si>
    <t>overwegende leefttijd</t>
  </si>
  <si>
    <t>CLINIQUE SAINT PIERRE</t>
  </si>
  <si>
    <t>AVENUE REINE FABIOLA 9</t>
  </si>
  <si>
    <t>Brabant Wallon</t>
  </si>
  <si>
    <t>1400</t>
  </si>
  <si>
    <t>CENTRE HOSPITALIER TUBIZE -  NIVELLES</t>
  </si>
  <si>
    <t>RUE SAMIETTE 1</t>
  </si>
  <si>
    <t>4000</t>
  </si>
  <si>
    <t>CENTRE HOSPITALIER REGIONAL DE LA CITADELLE</t>
  </si>
  <si>
    <t>BOULEV. DU 12E DE LIGNE 1</t>
  </si>
  <si>
    <t>Luik</t>
  </si>
  <si>
    <t>LIEGE-1</t>
  </si>
  <si>
    <t>CLINIQUES SAINT-JOSEPH</t>
  </si>
  <si>
    <t>RUE DE HESBAYE 75</t>
  </si>
  <si>
    <t>LIEGE-1 (SART-TILMAN)</t>
  </si>
  <si>
    <t>CENTRE HOSPITALIER UNIVERSITAIRE DE LIEGE</t>
  </si>
  <si>
    <t>DOMAINE UNIV. BAT. B35</t>
  </si>
  <si>
    <t>ROCOURT</t>
  </si>
  <si>
    <t>C.H. ST. VINCENT &amp; ST. ELISABETH</t>
  </si>
  <si>
    <t>RUE FRANCOIS LEFEBVRE 207</t>
  </si>
  <si>
    <t>4040</t>
  </si>
  <si>
    <t>CLINIQUE ANDRE RENARD</t>
  </si>
  <si>
    <t>RUE A. RENARD 1</t>
  </si>
  <si>
    <t>4100</t>
  </si>
  <si>
    <t>C.H. DU BOIS DE L'ABBAYE ET DE HESBAYE</t>
  </si>
  <si>
    <t>RUE LAPLACE 40</t>
  </si>
  <si>
    <t>4500</t>
  </si>
  <si>
    <t>CENTRE HOSPITALIER REGIONAL DE HUY</t>
  </si>
  <si>
    <t>RUE TROIS PONTS 2</t>
  </si>
  <si>
    <t>4700</t>
  </si>
  <si>
    <t>ST.-NIKOLAUS HOSPITAL EUPEN</t>
  </si>
  <si>
    <t>HUFENGASSE 4-8</t>
  </si>
  <si>
    <t>4780</t>
  </si>
  <si>
    <t>SANKT-VITH</t>
  </si>
  <si>
    <t>KLINIK ST.-JOSEF</t>
  </si>
  <si>
    <t>KLOSTERSTRASSE 9</t>
  </si>
  <si>
    <t>4800</t>
  </si>
  <si>
    <t>CENTRE HOSPITALIER PELTZER - LA TOURELLE</t>
  </si>
  <si>
    <t>RUE DU PARC 29</t>
  </si>
  <si>
    <t>4960</t>
  </si>
  <si>
    <t>CLINIQUE REINE ASTRID</t>
  </si>
  <si>
    <t>RUE DEVANT LES RELIGIEUSES</t>
  </si>
  <si>
    <t>5000</t>
  </si>
  <si>
    <t>CENTRE HOSPITALIER REGIONAL DE NAMUR</t>
  </si>
  <si>
    <t>AVENUE ALBERT Ier 185</t>
  </si>
  <si>
    <t>Namen</t>
  </si>
  <si>
    <t>Beantwoordt het communicatieschema aan de vereisten van de DGH</t>
  </si>
  <si>
    <t>Voor bezoekers</t>
  </si>
  <si>
    <t>Voor organisatie</t>
  </si>
  <si>
    <t>aantal uren</t>
  </si>
  <si>
    <t>totaal</t>
  </si>
  <si>
    <t>aantal uren dag</t>
  </si>
  <si>
    <t>aantal uren in cijfer</t>
  </si>
  <si>
    <t>=ALS(OF(K21=0;K8=0;G3="";G22="Maak uw keuze";I14=0;G5="VERSIE 16";G6="Maak uw keuze");1;0)</t>
  </si>
  <si>
    <t>ALS(EN($D$4&lt;&gt;"Maak uw keuze";$D$5&lt;&gt;"Maak uw keuze";$D$6&lt;&gt;"Maak uw keuze";$D$7&lt;&gt;"Maak uw keuze";$D$8&lt;&gt;"Maak uw keuze");0;1)</t>
  </si>
  <si>
    <r>
      <t xml:space="preserve">ALS(EN($E$41&lt;&gt;"Maak uw keuze";$E$42&lt;&gt;"Maak uw keuze";$E$43&lt;&gt;"Maak uw keuze";$E$44&lt;&gt;"Maak uw keuze";$E$45&lt;&gt;"Maak uw keuze";$E$46&lt;&gt;"Maak uw keuze";$E$47&lt;&gt;"Maak uw keuze";$E$52&lt;&gt;"Maak uw keuze";$E$53&lt;&gt;"Maak uw keuze";$E$54&lt;&gt;"Maak uw keuze");0;1) </t>
    </r>
    <r>
      <rPr>
        <b/>
        <sz val="10"/>
        <rFont val="Arial"/>
        <family val="2"/>
      </rPr>
      <t>+ appart Luik5 F13 = NEEN</t>
    </r>
  </si>
  <si>
    <r>
      <t>ALS(EN($D$7&lt;&gt;"Maak uw keuze";$D$8&lt;&gt;"Maak uw keuze";$D$9&lt;&gt;"Maak uw keuze";$D$10&lt;&gt;"Maak uw keuze";$D$11&lt;&gt;"Maak uw keuze";$D$12&lt;&gt;"Maak uw keuze";$D$13&lt;&gt;"Maak uw keuze";$D$14&lt;&gt;"Maak uw keuze";$D$15&lt;&gt;"Maak uw keuze";$D$16&lt;&gt;"Maak uw keuze";$D$17&lt;&gt;"Maak uw keuze";$D$18&lt;&gt;"Maak uw keuze";$D$19&lt;&gt;"Maak uw keuze";$D$20&lt;&gt;"Maak uw keuze";$D$21&lt;&gt;"Maak uw keuze";$D$22&lt;&gt;"Maak uw keuze");0;1)</t>
    </r>
    <r>
      <rPr>
        <b/>
        <sz val="10"/>
        <rFont val="Arial"/>
        <family val="2"/>
      </rPr>
      <t xml:space="preserve"> + appart luik4 D29 = NEEN</t>
    </r>
  </si>
  <si>
    <t>Score BLS (nr 8-12)</t>
  </si>
  <si>
    <t>Score OMW (nr 14-20)</t>
  </si>
  <si>
    <t>TERREIN VARIABELEN</t>
  </si>
  <si>
    <t>Verwittig de huisartsenkring</t>
  </si>
  <si>
    <t>Geef het nummer van de CP-OPS (overleg met huisarts + zorgen voor parking)</t>
  </si>
  <si>
    <t>Verwittig de verpleegkundigen van wacht</t>
  </si>
  <si>
    <t>maaltijdbezorging noodzakelijk binnen perimeter</t>
  </si>
  <si>
    <t>Vraag aan gemeente of dit geregeld is</t>
  </si>
  <si>
    <t>Zijn alle gemeenten betrokken bij de planning</t>
  </si>
  <si>
    <t>beginuur</t>
  </si>
  <si>
    <t>einduur</t>
  </si>
  <si>
    <t>cel P32-celP31</t>
  </si>
  <si>
    <t>Nationaliteit van de organisator</t>
  </si>
  <si>
    <t>Er zijn meerdere medische risico-analyses voor deze manifestatie (opsplitsten van de manifestatie)</t>
  </si>
  <si>
    <t>Aantal omwonenden binnen de isolatieperimeter</t>
  </si>
  <si>
    <t xml:space="preserve">Mogelijk shift van populatie </t>
  </si>
  <si>
    <t>Totaal aantal mensen at risk</t>
  </si>
  <si>
    <t>SCORE (1)</t>
  </si>
  <si>
    <t>IF(</t>
  </si>
  <si>
    <t xml:space="preserve">ambulance zeker nodig </t>
  </si>
  <si>
    <t>Reële aanrijtijd (in min)</t>
  </si>
  <si>
    <t>R1-B - BEREKENING VAN HET AANTAL MUG</t>
  </si>
  <si>
    <t>AANTAL BLS-PLOEGEN</t>
  </si>
  <si>
    <t>TOTALE SCORE</t>
  </si>
  <si>
    <t>VERTALING VAN DE SCORE : IS ER NOOD AAN EEN MEDISCHE ANTENNE</t>
  </si>
  <si>
    <t>Juiste benaming van de manifestatie</t>
  </si>
  <si>
    <t>- de lijst van de beroepsbeoefenaars (zie luik : deel 3 brief lijst);
- het formulier voor de 100-centrale (zie luik : 100);
- het draaiboek of het operatieorder van de medische inzet.</t>
  </si>
  <si>
    <t>Mag ik u tevens vragen erop toe te zien dat het bilan van de manifestatie ingevuld en opgestuurd wordt (zie luik : verzorgingen) en dat deze vraag deel uitmaakt van dit advies.</t>
  </si>
  <si>
    <r>
      <t xml:space="preserve">Luik 3 = ingevuld ==&gt; </t>
    </r>
    <r>
      <rPr>
        <strike/>
        <sz val="10"/>
        <rFont val="Arial"/>
        <family val="2"/>
      </rPr>
      <t xml:space="preserve">niet nodig moet toch door Gks nagekeken
</t>
    </r>
    <r>
      <rPr>
        <sz val="10"/>
        <rFont val="Arial"/>
        <family val="2"/>
      </rPr>
      <t>wel nodig om te beslissen of ze brief mogen afprinten (nagaan of vermoedelijke inzet wel degelijk 0 is)</t>
    </r>
  </si>
  <si>
    <t>1 (F4)</t>
  </si>
  <si>
    <t>2 wel medische inzet maar VPK … = 0 ==&gt; mailen FOD ?brief gemeente ? Brief 100 ? Verzorgingen</t>
  </si>
  <si>
    <t>3 geen automatisch advies ==&gt; mailen FOD ?brief gemeente ? Brief 100 ? Verzorgingen</t>
  </si>
  <si>
    <t>Appart luik 6 maken voor ieder mogelijk geval ?</t>
  </si>
  <si>
    <t>TE DOEN</t>
  </si>
  <si>
    <t>1.</t>
  </si>
  <si>
    <t>Luik 4</t>
  </si>
  <si>
    <t>Kolom J onzichtbaar maken</t>
  </si>
  <si>
    <t>Luik 3</t>
  </si>
  <si>
    <t>Luik 1</t>
  </si>
  <si>
    <t>Luik 2</t>
  </si>
  <si>
    <t>rij 48 tot 52 onzichtbaar maken</t>
  </si>
  <si>
    <t>deel 2 brief geen advies</t>
  </si>
  <si>
    <t>kolom F onzichtbaar maken</t>
  </si>
  <si>
    <t>zien dat de keuze "alle velden" op staat</t>
  </si>
  <si>
    <t>minuten</t>
  </si>
  <si>
    <t>NORMEN VOOR DE INZET VAN MEDISCHE MIDDELEN IN DE MEDISCHE LITERATUUR</t>
  </si>
  <si>
    <t>Totale populatie at risk</t>
  </si>
  <si>
    <t>Bestand ==&gt; opslaan als ==&gt; geef naam van het bestand en de plaats waar het moet opgeslagen worden</t>
  </si>
  <si>
    <t>Te doen door de rampenambtenaar</t>
  </si>
  <si>
    <t>OPERATIE ORDER</t>
  </si>
  <si>
    <t xml:space="preserve">  %</t>
  </si>
  <si>
    <t>Type van manifestatie</t>
  </si>
  <si>
    <t>Mag de functie van hulpverlener-BLS en hulpverlener in de hulppost gecombineerd worden</t>
  </si>
  <si>
    <t>Minimale oppervlakte voor de hulppost</t>
  </si>
  <si>
    <t>Minimum aantal verpleegkundigen (andere dan de MUG-equipe(s))</t>
  </si>
  <si>
    <t>Minimum aantal artsen (andere dan de MUG-equipe(s))</t>
  </si>
  <si>
    <t>HC100</t>
  </si>
  <si>
    <t>Werden de plannen van het terrein aan het HC100 overgemaakt</t>
  </si>
  <si>
    <t>Datum wanneer het HC100 moet geïnformeerd worden indien het antwoord "NEEN" is op één der vragen</t>
  </si>
  <si>
    <t>Totale populatie waarmee rekening gehouden wordt (na correctie)</t>
  </si>
  <si>
    <t>Totale duur van de manifestatie in uren</t>
  </si>
  <si>
    <t>AANDACHTSPUNTEN MANIFESTATIE</t>
  </si>
  <si>
    <t>AANDACHTSPUNTEN CAMPING</t>
  </si>
  <si>
    <t xml:space="preserve">Specifieke multidisciplinaire aandachtspunten </t>
  </si>
  <si>
    <t>Zijn er bij een lange afscheiding voldoende doorsteken voor de hulpdiensten</t>
  </si>
  <si>
    <t>Mag de functie BLS en hulpverlener-ambulancier gecombineerd worden</t>
  </si>
  <si>
    <t>Minimaal aantal hulpposten</t>
  </si>
  <si>
    <t>Minimaal aantal verpleegkundigen</t>
  </si>
  <si>
    <t>Minimaal aantal MUG-equipes</t>
  </si>
  <si>
    <t>Minimaal aantal artsen, andere dan de MUG-artsen</t>
  </si>
  <si>
    <t>INSCHATTING VAN DE MEDISCHE WORKLOAD TIJDENS DE MANIFESTATIE</t>
  </si>
  <si>
    <t>Datum van het begin van de manifestatie</t>
  </si>
  <si>
    <t>Populatie at risk</t>
  </si>
  <si>
    <t>Score voor "Camping "</t>
  </si>
  <si>
    <t>Score voor "Manifestatie"</t>
  </si>
  <si>
    <t>Is er nood aan andere maatregelen op of nabij de manifestatie</t>
  </si>
  <si>
    <t>Is er nood aan andere maatregelen op of nabij de camping</t>
  </si>
  <si>
    <t>Eén type van publiek</t>
  </si>
  <si>
    <t>Gekende basispathologie bij minstens 10 % van het publiek</t>
  </si>
  <si>
    <t>° Gehandicapten
° Milde pathologie met chronische behandeling</t>
  </si>
  <si>
    <t>° Ernstige pathologie met chronische behandeling</t>
  </si>
  <si>
    <t>Catering</t>
  </si>
  <si>
    <t>Koude voeding</t>
  </si>
  <si>
    <t>Warme voeding</t>
  </si>
  <si>
    <t>Logies</t>
  </si>
  <si>
    <t>SOORT MANIFESTATIE</t>
  </si>
  <si>
    <t>Soort van manifestatie</t>
  </si>
  <si>
    <t>&lt; 5 uur</t>
  </si>
  <si>
    <t>5-12 uur</t>
  </si>
  <si>
    <t>12-24 uur</t>
  </si>
  <si>
    <t>&gt; 24 uur</t>
  </si>
  <si>
    <t>Exacte duur in uren van de manifestatie</t>
  </si>
  <si>
    <t>Tijdstip van de manifestatie</t>
  </si>
  <si>
    <t>Werkuren</t>
  </si>
  <si>
    <t>(Ook) buiten de werkuren</t>
  </si>
  <si>
    <t>TEMPERATUUR EN VOCHTIGHEIDSGRAAD</t>
  </si>
  <si>
    <t>In te vullen door FOD</t>
  </si>
  <si>
    <r>
      <t xml:space="preserve">Extra ==&gt; beveiliging ==&gt; beveiliging blad opheffen
Hier </t>
    </r>
    <r>
      <rPr>
        <b/>
        <u/>
        <sz val="12"/>
        <color indexed="10"/>
        <rFont val="Arial"/>
        <family val="2"/>
      </rPr>
      <t>moet</t>
    </r>
    <r>
      <rPr>
        <sz val="12"/>
        <color indexed="10"/>
        <rFont val="Arial"/>
        <family val="2"/>
      </rPr>
      <t xml:space="preserve"> u dan de vragen "in te vullen door de rampenambtenaar" gaan invullen. De antwoorden zullen automatisch in Luik 3 komen. Dit moet u telkens doen als u een inschattingsformulier krijgt van een organisator.</t>
    </r>
  </si>
  <si>
    <t>Extra ==&gt; beveiliging ==&gt; beveiliging blad opheffen</t>
  </si>
  <si>
    <t>De vragen "in te vullen door de rampenambtenaar" moeten steeds ingevuld worden op het tabblad organisator op het ogenblik dat u begint met een nieuwe registratie.</t>
  </si>
  <si>
    <t>Onderstaande vragen zullen ingevuld worden door FOD.</t>
  </si>
  <si>
    <t>onbekend</t>
  </si>
  <si>
    <t>andere</t>
  </si>
  <si>
    <t>Geen</t>
  </si>
  <si>
    <t>Aansluiting op het elektriciteitsnet</t>
  </si>
  <si>
    <t>LUIK Rampen</t>
  </si>
  <si>
    <t>LUIK6</t>
  </si>
  <si>
    <t>LUIK7</t>
  </si>
  <si>
    <t>LUIK8</t>
  </si>
  <si>
    <t>deel 1 brief geen advies</t>
  </si>
  <si>
    <t>de database beveiligen met paswoord voor rampenambtenaar</t>
  </si>
  <si>
    <t>op datum :</t>
  </si>
  <si>
    <t>Vraag 1 : is het noodzakelijk om een medisch dispositief te plaatsen</t>
  </si>
  <si>
    <t>Vraag 2 : zo ja, welk is de grootte van het medisch dispositief :</t>
  </si>
  <si>
    <t>Vraag 3 : zijn andere maatregelen noodzakelijk (zie voor detail in bijlage)</t>
  </si>
  <si>
    <t>Hoogachtend,</t>
  </si>
  <si>
    <t>Dr. W. Haenen</t>
  </si>
  <si>
    <t>Secretaris Provinciale Geneeskundige Commissie van Antwerpen</t>
  </si>
  <si>
    <t>Federaal Gezondheidsinspecteur voor de provincie Antwerpen</t>
  </si>
  <si>
    <t>Voorzitter Commissie Dringende Medische Hulpverlening van Antwerpen</t>
  </si>
  <si>
    <r>
      <t>BETREFT</t>
    </r>
    <r>
      <rPr>
        <sz val="12"/>
        <rFont val="Arial"/>
        <family val="2"/>
      </rPr>
      <t xml:space="preserve"> : RISICOMANIFESTATIE OP UW GRONDGEBIED :</t>
    </r>
  </si>
  <si>
    <t>Burgemeester,</t>
  </si>
  <si>
    <t>Luik 7</t>
  </si>
  <si>
    <t>9.</t>
  </si>
  <si>
    <t>13.</t>
  </si>
  <si>
    <r>
      <t xml:space="preserve">alle tabbladen beveiligen </t>
    </r>
    <r>
      <rPr>
        <b/>
        <u/>
        <sz val="10"/>
        <rFont val="Arial"/>
        <family val="2"/>
      </rPr>
      <t>met ons</t>
    </r>
    <r>
      <rPr>
        <sz val="10"/>
        <rFont val="Arial"/>
      </rPr>
      <t xml:space="preserve"> paswoord behalve de brieven geen advies en tabblad "organisator"</t>
    </r>
  </si>
  <si>
    <t>Beveiligde versie : organisator</t>
  </si>
  <si>
    <t>Op dit tabblad 'Inlichtingen" de rijen bestemd voor de rampenambtenaar verbergen</t>
  </si>
  <si>
    <t>selecteer de rijen ==&gt;opmaak ==&gt; rij ==&gt; verbergen</t>
  </si>
  <si>
    <t>Tabblad "Inlichtingen" beveiligen met het paswoord</t>
  </si>
  <si>
    <t>database beveiligen met paswoord (dit is heel belangrijk zo kunnen er, ongewild of niet, geen aanpassingen gebeuren aan de berekeningen)</t>
  </si>
  <si>
    <t>Dit bestand doorsturen naar de organisator.</t>
  </si>
  <si>
    <r>
      <t xml:space="preserve">Nagaan of alles correct is ingevuld. Dit kan door naar </t>
    </r>
    <r>
      <rPr>
        <b/>
        <u/>
        <sz val="10"/>
        <rFont val="Arial"/>
        <family val="2"/>
      </rPr>
      <t>"LUIK 1 - AANVRAAG"</t>
    </r>
    <r>
      <rPr>
        <sz val="10"/>
        <rFont val="Arial"/>
      </rPr>
      <t xml:space="preserve"> te gaan en steeds verder te gaan door op de knoppen te klikken. Op het tabblad LUIK 3 kan u onderaan de keuze maken : verder organisator en verder rampenambtenaar.</t>
    </r>
  </si>
  <si>
    <r>
      <t xml:space="preserve">Begint u </t>
    </r>
    <r>
      <rPr>
        <b/>
        <u/>
        <sz val="10"/>
        <rFont val="Arial"/>
        <family val="2"/>
      </rPr>
      <t>LUIK 1</t>
    </r>
    <r>
      <rPr>
        <sz val="10"/>
        <rFont val="Arial"/>
      </rPr>
      <t xml:space="preserve"> in te vullen en vervolgens doorloopt u de nodige stappen tot u uiteindelijk terug bij LUIK 4 komt.</t>
    </r>
  </si>
  <si>
    <t>Nutsvoorzieningen</t>
  </si>
  <si>
    <t>Gasflessen</t>
  </si>
  <si>
    <t>Aansluiting op een electrogeengroep</t>
  </si>
  <si>
    <t>0°C-3°C</t>
  </si>
  <si>
    <t>4°C-7°C</t>
  </si>
  <si>
    <t>Aanwezigheid van airco</t>
  </si>
  <si>
    <t>22°C-27°C</t>
  </si>
  <si>
    <t>&lt; 0°C</t>
  </si>
  <si>
    <t>&gt; 27°C</t>
  </si>
  <si>
    <t>7°C-17°C</t>
  </si>
  <si>
    <t>17°C-22°C</t>
  </si>
  <si>
    <t>Wanneer tenten toegankelijk zijn voor het publiek moet een advies ingewonnen worden van de brandweer om zeker te zijn dat er voldoende evacuatiemogelijkheid is</t>
  </si>
  <si>
    <t>Kolom I tot q onzichtbaar maken</t>
  </si>
  <si>
    <t>Deze brieven moeten naar de organisator verstuurd worden zodat deze kan zien welke inzet vereist is. Tevens dient u ze voor te leggen aan de burgemeester.</t>
  </si>
  <si>
    <t>Na de afloop van de manifestatie wordt u ook vriendelijk verzocht het luik "Verzorgingen" in te vullen of te laten invullen door de verantwoordelijke van de medische inzet (zoals ingevuld in luik 1) en dan het bestand terug te mailen naar ons met als vermelding "Geen medische inzet".</t>
  </si>
  <si>
    <t>Na de afloop van de manifestatie wordt u ook vriendelijk verzocht het luik "Verzorgingen" in te vullen of te laten invullen door de verantwoordelijke van de medische inzet (zoals ingevuld in luik 1) en dan het bestand terug te mailen naar ons met als vermelding "Beperkte hulppost".</t>
  </si>
  <si>
    <t>1 geen medische inzet ==&gt; niets mailen naar FOD : NEEN?Brief gemeente : JA  , Brief 100 : NEEN</t>
  </si>
  <si>
    <t>Rooienberg 25, 2570 Duffel</t>
  </si>
  <si>
    <t>ARENDONK</t>
  </si>
  <si>
    <t>LIER</t>
  </si>
  <si>
    <t>HEILIG HART</t>
  </si>
  <si>
    <t>Mechelsestraat 24, 2500 Lier</t>
  </si>
  <si>
    <t>BALEN</t>
  </si>
  <si>
    <t>MALLE</t>
  </si>
  <si>
    <t>waardeinzet6 - 7 - 8
waardeluik6.1 - 7.1 - 8.2
waardeluik6.2 - 7.2 - 8.2
waardeluik6.4 - 7.4 - 8.4
waardeluik6.3 - 7.3 - 8.3</t>
  </si>
  <si>
    <t>Risicoanalyse</t>
  </si>
  <si>
    <t>effectieve verzorgingen</t>
  </si>
  <si>
    <t>Evenement</t>
  </si>
  <si>
    <t>Opmerkingen</t>
  </si>
  <si>
    <t>VERPLICHT MEE TE DELEN GEGEVENS</t>
  </si>
  <si>
    <t>Volgende gegevens moeten steeds aan de gezondheidsinspectie van Antwerpen gemeld worden. De gezondheidsinspectie stuurt de gegevens aan het bevoegde HC100 door, alsook aan de ziekenhuizen en ambulancediensten die potentieel opgeroepen worden naar de manifestatie.</t>
  </si>
  <si>
    <t>Algemene gegevens</t>
  </si>
  <si>
    <t>Naam van de manifestatie</t>
  </si>
  <si>
    <t>Gegevens betreffende de manifestatieregio</t>
  </si>
  <si>
    <t>Straten binnen de perimeter</t>
  </si>
  <si>
    <t>Aanrijroute</t>
  </si>
  <si>
    <t>RV-punt</t>
  </si>
  <si>
    <t>Kaarten in bijlagen (optioneel)</t>
  </si>
  <si>
    <t>Gegevens betreffende het medische dispositief</t>
  </si>
  <si>
    <t>Beginuur medisch dispositief</t>
  </si>
  <si>
    <t>Einduur medisch dispositief</t>
  </si>
  <si>
    <t>Logies voor organisatie</t>
  </si>
  <si>
    <t>Sold-out</t>
  </si>
  <si>
    <t>Specifieke risico's in de buurt</t>
  </si>
  <si>
    <t>Reputatie van de organisator bij de veiligheidsdiensten</t>
  </si>
  <si>
    <t>Is er beschutting tegen extreme weersomstandigheden op het terrein indien nodig</t>
  </si>
  <si>
    <t>ALGEMEEN ZIEKENHUIS ST. AUGUSTINUS</t>
  </si>
  <si>
    <t>IEPERSE STEENWEG 100</t>
  </si>
  <si>
    <t>8700</t>
  </si>
  <si>
    <t>ST.-ANDRIESZIEKENHUIS</t>
  </si>
  <si>
    <t>KROMMEWALSTRAAT 11</t>
  </si>
  <si>
    <t>8790</t>
  </si>
  <si>
    <t>O.L.V. VAN LOURDES ZIEKENHUIS WAREGEM</t>
  </si>
  <si>
    <t>8800</t>
  </si>
  <si>
    <t>STEDELIJK ZIEKENHUIS</t>
  </si>
  <si>
    <t>BRUGSESTEENWEG 90</t>
  </si>
  <si>
    <t>H.- HARTZIEKENHUIS ROESELARE - MENEN VZW</t>
  </si>
  <si>
    <t>WILGENSTRAAT 2</t>
  </si>
  <si>
    <t>8820</t>
  </si>
  <si>
    <t>ST.-REMBERTZIEKENHUIS</t>
  </si>
  <si>
    <t>ST.-REMBERTLAAN 21</t>
  </si>
  <si>
    <t>8870</t>
  </si>
  <si>
    <t>ST.-JOZEFSKLINIEK V.Z.W.</t>
  </si>
  <si>
    <t>ROESELAARSESTRAAT 47</t>
  </si>
  <si>
    <t>8900</t>
  </si>
  <si>
    <t>JAN YPERMAN ZIEKENHUIS</t>
  </si>
  <si>
    <t>9000</t>
  </si>
  <si>
    <r>
      <t xml:space="preserve">Indien er geen advies van FOD vereist is moet u :
          - na de afloop van de manifestatie het tabblad "Verzorgingen" invullen
          - het bestand saven en mailen naar onderstaand mailadres </t>
    </r>
    <r>
      <rPr>
        <b/>
        <sz val="10"/>
        <rFont val="Arial"/>
        <family val="2"/>
      </rPr>
      <t>(met vermelding geen medische inzet of beperkte hulppost</t>
    </r>
    <r>
      <rPr>
        <sz val="10"/>
        <rFont val="Arial"/>
      </rPr>
      <t>)</t>
    </r>
  </si>
  <si>
    <t>VERTALING VAN DE SCORE NAAR DE PRAKTIJK</t>
  </si>
  <si>
    <t>Noodzaak voor het plaatsen van een ambulance</t>
  </si>
  <si>
    <t>begindag</t>
  </si>
  <si>
    <t>einddag</t>
  </si>
  <si>
    <t>aantal dagen</t>
  </si>
  <si>
    <t>Begindatum :</t>
  </si>
  <si>
    <t>Beginuur :</t>
  </si>
  <si>
    <t>Einddatum :</t>
  </si>
  <si>
    <t xml:space="preserve">Einduur : </t>
  </si>
  <si>
    <t>Erkenningsnummer invullen indien van toepassing :</t>
  </si>
  <si>
    <t>Website van de organisator</t>
  </si>
  <si>
    <t>Administratieve gegevens van de verantwoordelijke van de medische hulpverlening (indien van toepassing)</t>
  </si>
  <si>
    <t>Beslissingsbevoegdheid van de verantwoordelijke</t>
  </si>
  <si>
    <r>
      <t>Indien er wel een advies van FOD vereist is :
          - het bestand saven en mailen naar onderstaand mailadres (</t>
    </r>
    <r>
      <rPr>
        <b/>
        <sz val="10"/>
        <rFont val="Arial"/>
        <family val="2"/>
      </rPr>
      <t>met vermelding advies FOD</t>
    </r>
    <r>
      <rPr>
        <sz val="10"/>
        <rFont val="Arial"/>
      </rPr>
      <t xml:space="preserve">)
          </t>
    </r>
    <r>
      <rPr>
        <b/>
        <sz val="10"/>
        <color indexed="10"/>
        <rFont val="Arial"/>
        <family val="2"/>
      </rPr>
      <t>- na afloop van de manifestatie het tabblad "Verzorgingen" invullen</t>
    </r>
    <r>
      <rPr>
        <sz val="10"/>
        <rFont val="Arial"/>
      </rPr>
      <t xml:space="preserve">
          - het bestand terug saven en mailen naar onderstaand mailadres (</t>
    </r>
    <r>
      <rPr>
        <b/>
        <sz val="10"/>
        <rFont val="Arial"/>
        <family val="2"/>
      </rPr>
      <t>vermelding verzorgingen</t>
    </r>
    <r>
      <rPr>
        <sz val="10"/>
        <rFont val="Arial"/>
      </rPr>
      <t>)</t>
    </r>
  </si>
  <si>
    <t>Te gebruiken mailadres :</t>
  </si>
  <si>
    <t>Te gebruiken gegevens :</t>
  </si>
  <si>
    <t>mailadres</t>
  </si>
  <si>
    <t>contactpersoon 2</t>
  </si>
  <si>
    <t>contactpersoon 1 - GI</t>
  </si>
  <si>
    <t>adres :</t>
  </si>
  <si>
    <t>E-mail adres rampenambtenaar :</t>
  </si>
  <si>
    <t>FOD Volksgezondheid, Veiligheid van de voedselketen en leefmilieu</t>
  </si>
  <si>
    <t>ICM - Buitendienst Antwerpen - Advies voor risicomanifestaties (PRIMA)</t>
  </si>
  <si>
    <t>hoofding 1</t>
  </si>
  <si>
    <t>Gsm</t>
  </si>
  <si>
    <t>fax</t>
  </si>
  <si>
    <t>tel</t>
  </si>
  <si>
    <t>Tel. Nr.</t>
  </si>
  <si>
    <t>GSM nr.</t>
  </si>
  <si>
    <t>Fax. Nr.</t>
  </si>
  <si>
    <t>Mail :</t>
  </si>
  <si>
    <t xml:space="preserve">CONTACT : </t>
  </si>
  <si>
    <t>02/524 78 53</t>
  </si>
  <si>
    <t>0477/426 026</t>
  </si>
  <si>
    <t>02/524 78 58</t>
  </si>
  <si>
    <t>Directoraat-Generaal Basisgezondheidszorg en Crisisbeheer</t>
  </si>
  <si>
    <t>Gezondheidsinspectie voor de provincie Antwerpen</t>
  </si>
  <si>
    <t>Provinciale Geneeskundige Commissie voor Dringende Geneeskundige</t>
  </si>
  <si>
    <t>Hulpverlening van Antwerpen</t>
  </si>
  <si>
    <t>brief burgemeester</t>
  </si>
  <si>
    <t>Pelikaanstraat 4 - 2de verdieping - 2018 Antwerpen - www.health.fgov.be</t>
  </si>
  <si>
    <t>Melding PRIMA aan het hulpcentrum 100</t>
  </si>
  <si>
    <t>en aan de operationele diensten die potentieel opgeroepen worden</t>
  </si>
  <si>
    <t>NAAM DOCUMENT : PRIMA – HC1</t>
  </si>
  <si>
    <t>brief 100</t>
  </si>
  <si>
    <t>Federale Gezondheidsinspectie van Antwerpen</t>
  </si>
  <si>
    <t>titel GI</t>
  </si>
  <si>
    <t>Minimaal aantal overige hulpverleners (exclusief de BLS-ploegen en de hulpverleners-ambulancier)</t>
  </si>
  <si>
    <t>Mag de functie van hulpverlener-ambulancier en hulpverlener BLS gecombineerd worden</t>
  </si>
  <si>
    <t>Mag de functie van hulpverlener-ambulancier en hulpverlener in de hulppost gecombineerd worden</t>
  </si>
  <si>
    <t>Dit tabblad dient ingevuld te worden na de manifestatie.</t>
  </si>
  <si>
    <t>2.4. Communicatieschema</t>
  </si>
  <si>
    <t>2.5. Relatie met het HC 100</t>
  </si>
  <si>
    <t>Aparte communicatiestructuur voor dit evenement of geen communicatie</t>
  </si>
  <si>
    <t>Markt</t>
  </si>
  <si>
    <t>* VIP's brengen een extra risico mee, niet alleen voor de politie maar ook voor de andere disciplines.  Is er een afstemming gemaakt van het politionele plan op de werking van de andere disciplines.
* Zijn er specifieke medische eisen die aan de aanwezige equipes gesteld worden als gevolg van de aanwezigheid van deze VIP.</t>
  </si>
  <si>
    <t>* Indien het openbaar vervoer tot aan de manifestatie komt : is er een aparte weg voor dit vervoer
* Indien de mensen nabij de manifestatie uitstappen : is er een aparte weg voor voetgangers.  Is er rekening gehouden met het feit dat deze weg de aanrijroute van de hulpdiensten niet kruist
* Indien geen openbaar vervoer in de nabijheid : houdt het mobiliteitsplan hiermee rekening</t>
  </si>
  <si>
    <t>Is de shuttle-dienst als dusdanig voldoende herkenbaar
zijn de uitstapplaatsen voldoende aangeduid op het plan
Is er een specifieke route voor de shutlle-dienst</t>
  </si>
  <si>
    <t>GEBRUIKTE KLEURENCODE IN DIT INVULBLAD</t>
  </si>
  <si>
    <t>Werd er een verantwoordelijke aangeduid die instaat voor het toezicht op de hygiëne van de toiletten, en die desgewenst mensen kan mobiliseren om de toiletten (en hun directe omgeving) te reinigen</t>
  </si>
  <si>
    <t>Zijn vuilbakken als dusdanig goed herkenbaar door de manifestatiegangers (zo mogelijk met logo)</t>
  </si>
  <si>
    <t>Heeft de organisator een systeem opgezet van gescheiden afvalophaling tijdens de manifestatie</t>
  </si>
  <si>
    <t>CENTRE HOSPITALIER REGIONAL</t>
  </si>
  <si>
    <t>AVENUE ALBERT 1IER 185</t>
  </si>
  <si>
    <t>Namur</t>
  </si>
  <si>
    <t>CENTRE HOSPITALIER REGIONAL DU VAL DE SAMBRE</t>
  </si>
  <si>
    <t>CLINIQUES UNIVERSITAIRES (U.C.L.)</t>
  </si>
  <si>
    <t>AVENUE DR. G.THERASSE 1</t>
  </si>
  <si>
    <t>Liège</t>
  </si>
  <si>
    <t>4032</t>
  </si>
  <si>
    <t>CHENEE</t>
  </si>
  <si>
    <t>RUE DE GAILLARMONT 600</t>
  </si>
  <si>
    <t>CENTRE HOSPITALIER DU BOIS DE L'ABBAYE ET DE HESBAYE</t>
  </si>
  <si>
    <t>4420</t>
  </si>
  <si>
    <t>MONTEGNEE</t>
  </si>
  <si>
    <t>RUE ST.-NICOLAS 447</t>
  </si>
  <si>
    <t>4300</t>
  </si>
  <si>
    <t>AVENUE DE LA RESISTANCE 2</t>
  </si>
  <si>
    <t>RUE DE SELYS LONGCHAMPS 4</t>
  </si>
  <si>
    <t>ST.-NIKOLAUS HOSPITAL</t>
  </si>
  <si>
    <t>Lüttich</t>
  </si>
  <si>
    <t>CENTRE HOSPITALIER  PELTZER - LA TOURELLE</t>
  </si>
  <si>
    <t>6600</t>
  </si>
  <si>
    <t>INTERCOM. HOSP. FAMENNE ARDENNE CONDROZ (I.F.A.C.)</t>
  </si>
  <si>
    <t>RUE DE HOUFFALIZE 1</t>
  </si>
  <si>
    <t>CLINIQUES DU SUD-LUXEMBOURG</t>
  </si>
  <si>
    <t>Tijdens de manifestatie</t>
  </si>
  <si>
    <t>Los van de manifestatie</t>
  </si>
  <si>
    <t>° Markt/braderie
° Concert (klassieke muziek)
° Theater
° Show
° Volksbal
° Tentoonstelling
° Bazar
° Vlooienmarkt
° Beurs</t>
  </si>
  <si>
    <t>° Straatfestival (behalve karnaval)
° Sportevenementen (behalve marathon, wielrennen, competitiesport)
° Folkloristisch feest
° Danssportevenement
° Kerstmarkt
° ALLE ANDERE EVENEMENTEN</t>
  </si>
  <si>
    <t>° Vuurwerk
° Kleine (aangekondigde) betoging
° Muziekevenement (geen klassieke muziek of rock/house)
° Karnaval
° Meerdaagse wandelmarsen
° Competitiesport
° Marathon
° Wielrennen</t>
  </si>
  <si>
    <t>° Auto/motorsport
° Vliegshow</t>
  </si>
  <si>
    <t>TABEL OMWONENDEN</t>
  </si>
  <si>
    <t>Is de capaciteit toereikend</t>
  </si>
  <si>
    <t>Kunnen de hulpdiensten met deze aparatuur werken</t>
  </si>
  <si>
    <t>Zijn de voorzieningen aangepast voor deze dieren
Verwittigen van de dienst "dierenwelzijn" (DG4)</t>
  </si>
  <si>
    <t>Probleem van andere taal opvangen</t>
  </si>
  <si>
    <t>Welke oplossing wordt geboden wanneer de CP-OPS niet of partieel bemand wordt (telefoonnummers)</t>
  </si>
  <si>
    <t>Heeft dit probleem een effect op de medische hulpverlening</t>
  </si>
  <si>
    <t>Is de wetgeving toegepast</t>
  </si>
  <si>
    <t>ACTIE INDIEN DE SCORE "1" IS</t>
  </si>
  <si>
    <t>TABEL "PUBLIC HEALTH"</t>
  </si>
  <si>
    <t>TABEL "PREPAREDNESS"</t>
  </si>
  <si>
    <t>TABEL "MULTIDISCIPLINIARE SAMENWERKING"</t>
  </si>
  <si>
    <t>Afstand tot de dichtsbijzijnde spoedgevallendienst</t>
  </si>
  <si>
    <t>TABEL ZIE-2 : VARIABELEN VOOR DE BEREKENING VAN DE WORKLOAD PER 10.000 PER 5 UUR</t>
  </si>
  <si>
    <t>TOTAAL AANTAL TE VERZORGEN PERSONEN</t>
  </si>
  <si>
    <t>Brandwonden</t>
  </si>
  <si>
    <t>Schotwonden</t>
  </si>
  <si>
    <t>Aantal levensbedreigende aandoeningen (na regulatie)</t>
  </si>
  <si>
    <t>GSM</t>
  </si>
  <si>
    <t>Eenvoudig</t>
  </si>
  <si>
    <t>De verantwoordelijken op het terrein moeten elkaars GSM-nummer hebben</t>
  </si>
  <si>
    <t>GSM-nummers van verantwoordelijken uitwisselen !</t>
  </si>
  <si>
    <t>Voorziet de organisator een systeem van gratis waterbedeling vanaf het moment dat de buitentemperatuur hoger is dan 27°C</t>
  </si>
  <si>
    <t xml:space="preserve">Zijn er voldoende toiletten voorzien voor de manifestatie (vaste en indien nodig mobiele toiletten).  </t>
  </si>
  <si>
    <t>Allen de rode tabbladen en het tabblad "Verzorgingen" zichtbaar laten, de rest verbergen.
Voor de versie 'rampen' mogen ook de zwarte tabbladen zichtbaar blijven.</t>
  </si>
  <si>
    <t>Werd de 100-centrale verwittigd van de manifestatie</t>
  </si>
  <si>
    <t>Welke oplossing werd in deze gevallen geopperd en/of geboden.
Zijn er voldoende garanties om deze problemen deze keer te vermijden</t>
  </si>
  <si>
    <t>Er moet een vertegenwoordiging van discipline 2 aanwezig zijn in de CP-Ops voor de coördinatie van de medische hulverlening en het opvolgen van de regulatie naar de ziekenhuizen.  Deze persoon moet minstens de kwalificatie van MUG-verpleegkundige hebben.</t>
  </si>
  <si>
    <t>MINIMAAL AANTAL HULPVERLENERS</t>
  </si>
  <si>
    <t>KWANTITATIEVE GEGEVENS</t>
  </si>
  <si>
    <t>KWALITATIEVE GEGEVENS</t>
  </si>
  <si>
    <t>MINIMAAL AANTAL ARTSEN</t>
  </si>
  <si>
    <t>MINIMAAL AANTAL VERPLEEGKUNIDGEN</t>
  </si>
  <si>
    <t>VERANTWOORDELIJKE</t>
  </si>
  <si>
    <t>TEL</t>
  </si>
  <si>
    <t>OMWONENDEN</t>
  </si>
  <si>
    <t>BEREKENDE SCORE</t>
  </si>
  <si>
    <t>DEEL 1</t>
  </si>
  <si>
    <t>DEEL 2</t>
  </si>
  <si>
    <t>MULTISDICIPLINAIR OVERLEG</t>
  </si>
  <si>
    <t>NEEM TABEL "MULTIDISCIPLINAIR" ALS SCORE &gt;0</t>
  </si>
  <si>
    <t>NEEM TABEL "OMWONENDEN" ALS SCORE  &gt; 0</t>
  </si>
  <si>
    <t>NEEM TABEL "PREPAREDNESS" ALS SCORE &gt; 0</t>
  </si>
  <si>
    <t>DEEL 3</t>
  </si>
  <si>
    <t>PUBLIC HEALTH</t>
  </si>
  <si>
    <t xml:space="preserve">BEREKENDE SCORE </t>
  </si>
  <si>
    <t>Berekende score</t>
  </si>
  <si>
    <t>INSCHATTING VAN HET EFFECT VAN DE MANIFESTATIE OP PUBLIC HEALTH (ONMIDDELLIJKE EFFECTEN)</t>
  </si>
  <si>
    <t>(Fel)gele achtergrond</t>
  </si>
  <si>
    <t>Paarse achtergrond (tabel)</t>
  </si>
  <si>
    <t>Tabel met basiswaarden, overeenkomstig met de standaardpopulatie</t>
  </si>
  <si>
    <t>NEEM TE TABEL "PUBLIC HEALTH" ALS SCORE &gt;0</t>
  </si>
  <si>
    <t>opm3</t>
  </si>
  <si>
    <t>R4 : RISICO-AS 4 : OBJECTIVATIE</t>
  </si>
  <si>
    <t>In te vullen door de rampenambtenaar</t>
  </si>
  <si>
    <t xml:space="preserve">Moet er een operatieorder voor de medisch preventieve hulpdienst opgesteld worden </t>
  </si>
  <si>
    <t>ATTENHOVENSTRAAT  47</t>
  </si>
  <si>
    <t>OVERIJSE</t>
  </si>
  <si>
    <t>Brandweer OVERIJSE</t>
  </si>
  <si>
    <t>SCHAVEI  77</t>
  </si>
  <si>
    <t>Nederoverheembeek.</t>
  </si>
  <si>
    <t>HMB (NOH)MILITAIREN</t>
  </si>
  <si>
    <t>Bruynstraat</t>
  </si>
  <si>
    <t>JETTE</t>
  </si>
  <si>
    <t>UZ BRUSSEL (JETTE) et PIT</t>
  </si>
  <si>
    <t>Laarbeeklaan 101</t>
  </si>
  <si>
    <t>AARSCHOT</t>
  </si>
  <si>
    <t>ZIEKENWAGENDIENST AARSCHOT VZW</t>
  </si>
  <si>
    <t>LANGDORPSESTEENWEG 129</t>
  </si>
  <si>
    <t>Rode Kruis HALLE</t>
  </si>
  <si>
    <t>BRUSSELSESTEEWEG 183</t>
  </si>
  <si>
    <t>Ziekenhuislaan 100 Halle</t>
  </si>
  <si>
    <t>PIT HALLE</t>
  </si>
  <si>
    <t>Cfr.256 + 255 + 214</t>
  </si>
  <si>
    <t>RODE KRUIS LEUVEN</t>
  </si>
  <si>
    <t>Herestraat 49 / BTC</t>
  </si>
  <si>
    <t>VLAAMSE KRUIS LEUVEN</t>
  </si>
  <si>
    <t>Tervuursesteenweg 23</t>
  </si>
  <si>
    <t>Zaventem Airport</t>
  </si>
  <si>
    <t>BRUSSELS AIRPORT</t>
  </si>
  <si>
    <t>MEDA</t>
  </si>
  <si>
    <t>Heilig Hartziekenhuis Leuven</t>
  </si>
  <si>
    <t>Naamsestraat 105</t>
  </si>
  <si>
    <t>RODE KRUIS VLAAMS BRABANT</t>
  </si>
  <si>
    <t>WAREGEM</t>
  </si>
  <si>
    <t>KLINIEK O.L.V. VAN LOURDES WAREGEM</t>
  </si>
  <si>
    <t>VIJFSEWEG 150</t>
  </si>
  <si>
    <t>WEST-VLAANDEREN</t>
  </si>
  <si>
    <t>OOSTENDE</t>
  </si>
  <si>
    <t>Jo De Decker</t>
  </si>
  <si>
    <t>Gespreksgroep medisch regulatie</t>
  </si>
  <si>
    <t>Gespreksgroep medisch (reserve)</t>
  </si>
  <si>
    <t>AFSTANDEN</t>
  </si>
  <si>
    <t>Dichtsbijzijnde 100-ambulance</t>
  </si>
  <si>
    <t>Dichtsbijzijnde MUG</t>
  </si>
  <si>
    <t>Zoek het aantal omwonenden op (invullen van populatie)
Verwittig de omwonenden over de manifestatie.  Ga na of het nodig is dat ze een aanspreekpunt krijgen voor eventuele vragen</t>
  </si>
  <si>
    <t>RUE DE LA FORGETTE,2</t>
  </si>
  <si>
    <t>CHIMAY</t>
  </si>
  <si>
    <t>Service d'Incendie CHIMAY</t>
  </si>
  <si>
    <t>RUE FISCHBACH 21</t>
  </si>
  <si>
    <t>QUIEVRAIN</t>
  </si>
  <si>
    <t>Service d'Incendie QUIEVRAIN</t>
  </si>
  <si>
    <t>PLACE DU BALLODROME</t>
  </si>
  <si>
    <t>ATH</t>
  </si>
  <si>
    <t>S.I. ATH</t>
  </si>
  <si>
    <t>BD DU CHÂTEAU 19</t>
  </si>
  <si>
    <t>MONTIGNIES-LE-TILLEUL</t>
  </si>
  <si>
    <t>C.H.U. de Charleroi; site Hôpital A. VESALE</t>
  </si>
  <si>
    <t>ROUTE DE GOZEE 706</t>
  </si>
  <si>
    <t>LESSINES</t>
  </si>
  <si>
    <t>keuzelijst aanmaken</t>
  </si>
  <si>
    <t>gegevens ingeven ==&gt; in vak waar de cel staat (C68) de naam ingeven</t>
  </si>
  <si>
    <t>in de cel waar men de keuzelijst wil maken : Data ==&gt; valideren ==&gt; toestaan : lijst ==&gt; bron = naam van de lijst</t>
  </si>
  <si>
    <t>Gespreksgroep medisch logistiek (MIP : KTA/Ramp C)</t>
  </si>
  <si>
    <t>Gespreksgroep medisch regulatie (MIP : KTA/Ramp A)</t>
  </si>
  <si>
    <t>Gespreksgroep medisch operationeel (MIP : KTA/Ramp B)</t>
  </si>
  <si>
    <t>Gespreksgroep medisch coördinatie (MIP : Dir-Med A)</t>
  </si>
  <si>
    <t>De medische discipline heeft een risico-analyse uitgevoerd betreffende deze manifestatie.  In bijlage vindt U het detail van deze risico-analyse die het minimum aan inzet aangeeft; hieronder vindt U de samenvatting.</t>
  </si>
  <si>
    <t>Is er een sluitend communicatieschema in geval van een collectief probleem.  
Is het communicatieschema dat gebruikt wordt tijdens de manifestatie opschaalbaar naar dit systeem of niet</t>
  </si>
  <si>
    <t>Beantwoordt het communicatieschema aan de vereisten van de DGH (ASTRID-communicatie met verschillende gespreksgroepen)</t>
  </si>
  <si>
    <t>CLINIQUE STE. ANNE - ST. REMI</t>
  </si>
  <si>
    <t>BOULEVARD J. GRAINDOR 66</t>
  </si>
  <si>
    <t>1090</t>
  </si>
  <si>
    <t>BRUSSEL--9</t>
  </si>
  <si>
    <t>UNIVERSITAIR ZIEKENHUIS BRUSSEL</t>
  </si>
  <si>
    <t>LAARBEEKLAAN 101</t>
  </si>
  <si>
    <t>1180</t>
  </si>
  <si>
    <t>BRUSSEL-18</t>
  </si>
  <si>
    <t>EUROPAZIEKENHUIZEN - CLINIQUES DE L'EUROPE</t>
  </si>
  <si>
    <t>DE FRELAAN 206</t>
  </si>
  <si>
    <t>BRUXELLES-18</t>
  </si>
  <si>
    <t>C.H. INTERREGIONAL EDITH CAVELL (CHIREC)</t>
  </si>
  <si>
    <t>RUE EDITH CAVELL 32</t>
  </si>
  <si>
    <t>1200</t>
  </si>
  <si>
    <t>BRUXELLES-20</t>
  </si>
  <si>
    <t>CLINIQUES UNIVERSITAIRES ST.LUC</t>
  </si>
  <si>
    <t>AVENUE HIPPOCRATE 10</t>
  </si>
  <si>
    <t>1500</t>
  </si>
  <si>
    <t>REGIONAAL ZIEKENHUIS ST.-MARIA</t>
  </si>
  <si>
    <t>ZIEKENHUISLAAN 100</t>
  </si>
  <si>
    <t>Vlaams Brabant</t>
  </si>
  <si>
    <t>1800</t>
  </si>
  <si>
    <t>ALGEMEEN ZIEKENHUIS JAN PORTAELS</t>
  </si>
  <si>
    <t>GENDARMERIESTRAAT 65</t>
  </si>
  <si>
    <t>ALGEMEEN ZIEKENHUIS ST. ELISABETH</t>
  </si>
  <si>
    <t>3000</t>
  </si>
  <si>
    <t>REGIONAAL ZIEKENHUIS H.-HART</t>
  </si>
  <si>
    <t>NAAMSESTRAAT 105</t>
  </si>
  <si>
    <t>UNIVERSITAIRE ZIEKENHUIZEN K.U.L.</t>
  </si>
  <si>
    <t>HERESTRAAT 49</t>
  </si>
  <si>
    <t>3290</t>
  </si>
  <si>
    <t>ALGEMEEN ZIEKENHUIS DIEST</t>
  </si>
  <si>
    <t>MICHEL THEYSSTRAAT 18</t>
  </si>
  <si>
    <t>3300</t>
  </si>
  <si>
    <t>REGIONAAL ZIEKENHUIS HEILIG HART TIENEN</t>
  </si>
  <si>
    <t>KLINIEKSTRAAT 45</t>
  </si>
  <si>
    <t>3500</t>
  </si>
  <si>
    <t>ALGEMEEN ZIEKENHUIS SALVATOR - ST. URSULA</t>
  </si>
  <si>
    <t>Betreft risicomanifestatie :</t>
  </si>
  <si>
    <t>datum :</t>
  </si>
  <si>
    <t>ALGEMEEN ZIEKENHUIS VESALIUS</t>
  </si>
  <si>
    <t>HAZELEREIK 51</t>
  </si>
  <si>
    <t>3800</t>
  </si>
  <si>
    <t>SINT-TRUIDEN</t>
  </si>
  <si>
    <t>REGIONAAL ZIEKENHUIS ST.-TRUDO</t>
  </si>
  <si>
    <t>DIESTERSTEENWEG 100</t>
  </si>
  <si>
    <t>3900</t>
  </si>
  <si>
    <t>OVERPELT</t>
  </si>
  <si>
    <t>MARIAZIEKENHUIS NOORD LIMBURG</t>
  </si>
  <si>
    <t>MAESENSVELD 1</t>
  </si>
  <si>
    <t>8000</t>
  </si>
  <si>
    <t>A.Z. ST.-JAN BRUGGE-OOSTENDE</t>
  </si>
  <si>
    <t>RUDDERSHOVE 10</t>
  </si>
  <si>
    <t>West-Vlaanderen</t>
  </si>
  <si>
    <t>8300</t>
  </si>
  <si>
    <t>GEZONDHEIDSZORG OOSTKUST</t>
  </si>
  <si>
    <t>GRAAF JANSDIJK 162</t>
  </si>
  <si>
    <t>8310</t>
  </si>
  <si>
    <t>ALGEMEEN ZIEKENHUIS ST.LUCAS</t>
  </si>
  <si>
    <t>ST.-LUCASLAAN 29</t>
  </si>
  <si>
    <t>8400</t>
  </si>
  <si>
    <t>ALGEMEEN ZIEKENHUIS DAMIAAN</t>
  </si>
  <si>
    <t>GOUWELOZESTRAAT 100</t>
  </si>
  <si>
    <t>8500</t>
  </si>
  <si>
    <t>ALGEMEEN ZIEKENHUIS GROENINGE</t>
  </si>
  <si>
    <t>REEPKAAI 4</t>
  </si>
  <si>
    <t>8630</t>
  </si>
  <si>
    <t>Service d'Incendie STAVELOT</t>
  </si>
  <si>
    <t>ROUTE DE MALMEDY 17</t>
  </si>
  <si>
    <t>CRISNEE</t>
  </si>
  <si>
    <t>Protection Civile KEMEXHE</t>
  </si>
  <si>
    <t>RUE VINCENT BONNECHERE 30</t>
  </si>
  <si>
    <t>I.I.L.E.</t>
  </si>
  <si>
    <t>RUE RANSONNET 5</t>
  </si>
  <si>
    <t>EUPEN</t>
  </si>
  <si>
    <t>Service d'Incendie EUPEN</t>
  </si>
  <si>
    <t>Is de koudeketen voorzien en in orde bij eetkramen (aanwezigheid van ijskasten/diepvriezers en voldoende stroom hiervoor)</t>
  </si>
  <si>
    <t>Is er aandacht besteed aan brandpreventie en -bestrijding bij kramen waar warme drank en/of voedsel bereid wordt (bv. brandblusser, branddekens, attesten, …)</t>
  </si>
  <si>
    <t>Omrekentabellen : de overeenkomstige waarde moet ingevuld worden en/of de overeenkomstige instructie moet gevolgd worden</t>
  </si>
  <si>
    <t>Resultaat van de berekening</t>
  </si>
  <si>
    <t>R1 - C : BEREKENING VAN AANTAL BLS-PLOEGEN</t>
  </si>
  <si>
    <t>R1 - D : TE NEMEN MAATREGELEN VOOR DE OMWONENDEN</t>
  </si>
  <si>
    <t>VOORKOMEN VAN ZIEKTE IN DE NORMALE POPULATIE</t>
  </si>
  <si>
    <t>VOORKOMEN VAN ZIEKTE IN GEVAL VAN MARATHON EN TRIATLON</t>
  </si>
  <si>
    <t>VERTALING</t>
  </si>
  <si>
    <t>AANTAL AMBULANCES</t>
  </si>
  <si>
    <t>AANTAL MUG'N</t>
  </si>
  <si>
    <t>MANIFESTATIE</t>
  </si>
  <si>
    <t>DATUM</t>
  </si>
  <si>
    <t>ADRES</t>
  </si>
  <si>
    <t>DUUR</t>
  </si>
  <si>
    <t>FLORENT PAUWELSTRAAT 1</t>
  </si>
  <si>
    <t>Brandweer WUUSTWEZEL</t>
  </si>
  <si>
    <t>ALOIS BLOMMAERTSTRAAT 3</t>
  </si>
  <si>
    <t>PIT HEILIGE FAMILIE RUMST</t>
  </si>
  <si>
    <t>S HERENBAAN 172</t>
  </si>
  <si>
    <t>ST.-MAARTEN Campus Mechelen</t>
  </si>
  <si>
    <t>LEOPOLDSTRAAT 2</t>
  </si>
  <si>
    <t>ZNA campus MIDDELHEIM</t>
  </si>
  <si>
    <t>LINDENDREEF 1</t>
  </si>
  <si>
    <t>AUGUSTIJNSLEI 100</t>
  </si>
  <si>
    <t>UNIVERSITAIR Ziekenhuis ANTWERPEN</t>
  </si>
  <si>
    <t>WILRIJKSTRAAT 10</t>
  </si>
  <si>
    <t>SINT VINCENTIUS</t>
  </si>
  <si>
    <t>SINT VINCENTIUSSTRAAT 20</t>
  </si>
  <si>
    <t>Rode Kruis BERLAAR</t>
  </si>
  <si>
    <t>PASTORIJSTRAAT 25</t>
  </si>
  <si>
    <t>SINT ELISABETH HERENTALS</t>
  </si>
  <si>
    <t>NEDERRIJ 133</t>
  </si>
  <si>
    <t>HOUTVENNE</t>
  </si>
  <si>
    <t>HULSHOUTSE AMBULANCEDIENST</t>
  </si>
  <si>
    <t>VENNEKENSSTRAAT 103 A</t>
  </si>
  <si>
    <t>OOSTERVELDLAAN 24</t>
  </si>
  <si>
    <t>SINT ELISABETH TURNHOUT</t>
  </si>
  <si>
    <t>RUBENSSTRAAT 160</t>
  </si>
  <si>
    <t>SINT DIMPNA GEEL</t>
  </si>
  <si>
    <t>J.B. STESSENSTRAAT 2</t>
  </si>
  <si>
    <t>NIVELLES</t>
  </si>
  <si>
    <t>Service d'Incendie NIVELLES</t>
  </si>
  <si>
    <t>CHAUSSEE DE CHARLEROI 46C</t>
  </si>
  <si>
    <t>BRABANT WALLON</t>
  </si>
  <si>
    <t>WAVRE</t>
  </si>
  <si>
    <t>Service d'Incendie BIERGES-WAVRE</t>
  </si>
  <si>
    <t>CHAUSSEE DE NAMUR 115</t>
  </si>
  <si>
    <t>BRAINE L'ALLEUD</t>
  </si>
  <si>
    <t>Service d'Incendie BRAINE-L'ALLEUD</t>
  </si>
  <si>
    <t>CHAUSSEE DE MONT ST JEAN 120</t>
  </si>
  <si>
    <t>TUBIZE</t>
  </si>
  <si>
    <t>Service d'Incendie TUBIZE</t>
  </si>
  <si>
    <t>RUE FERRER 91</t>
  </si>
  <si>
    <t>CHAUSSEE D'ARLON 50</t>
  </si>
  <si>
    <t>BERTRIX</t>
  </si>
  <si>
    <t>Service d'Incendie BERTRIX</t>
  </si>
  <si>
    <t>RUE DE BLEZY 34</t>
  </si>
  <si>
    <t>HOUFFALIZE</t>
  </si>
  <si>
    <t>Service d'Incendie HOUFFALIZE</t>
  </si>
  <si>
    <t>RUE DE LAROCHE 49</t>
  </si>
  <si>
    <t>MARCHE</t>
  </si>
  <si>
    <t>Service d'Incendie MARCHE</t>
  </si>
  <si>
    <t>PARC INDUSTRIEL 12</t>
  </si>
  <si>
    <t>VIRTON</t>
  </si>
  <si>
    <t>Service d'Incendie VIRTON</t>
  </si>
  <si>
    <t>RUE DU MOULIN 20</t>
  </si>
  <si>
    <t>ATHUS</t>
  </si>
  <si>
    <t>Service d'Incendie AUBANGE</t>
  </si>
  <si>
    <t>RUE DES METALLURGISTES 9</t>
  </si>
  <si>
    <t>LA ROCHE</t>
  </si>
  <si>
    <t>ASBL AMU LA ROCHE</t>
  </si>
  <si>
    <t>RUE BEAUSAINT 2</t>
  </si>
  <si>
    <t>LIBRAMONT</t>
  </si>
  <si>
    <t>Croix Rouge LIBRAMONT</t>
  </si>
  <si>
    <t>RUE DU MIDI 5</t>
  </si>
  <si>
    <t>BASTOGNE</t>
  </si>
  <si>
    <t>Service d'Incendie BASTOGNE</t>
  </si>
  <si>
    <t>ROUTE DE WILTZ 11</t>
  </si>
  <si>
    <t>ETALLE</t>
  </si>
  <si>
    <t>Service d'Incendie ETALLE</t>
  </si>
  <si>
    <t>RUE SAINT-ANTOINE 193</t>
  </si>
  <si>
    <t>SAINT-MARD</t>
  </si>
  <si>
    <t>PIT VIRTON CSL</t>
  </si>
  <si>
    <t>RUE D'HARNONCOURT</t>
  </si>
  <si>
    <t>FLORENNES</t>
  </si>
  <si>
    <t>Service d'Incendie FLORENNES</t>
  </si>
  <si>
    <t>RUE DU VIVEROUX 2A</t>
  </si>
  <si>
    <t>NAMUR</t>
  </si>
  <si>
    <t>ROCHEFORT</t>
  </si>
  <si>
    <t>Service d'Incendie ROCHEFORT</t>
  </si>
  <si>
    <t>RUE SOUS LE CHATEAU 1</t>
  </si>
  <si>
    <t>FOSSES-LA-VILLE</t>
  </si>
  <si>
    <t>Service d'Incendie FOSSES-LA-VILLE</t>
  </si>
  <si>
    <t>RUE SAINTE-BRIGIDE 15</t>
  </si>
  <si>
    <t>SART-CUSTINNE</t>
  </si>
  <si>
    <t>SRI Gedinne</t>
  </si>
  <si>
    <t>RUE DE LA MORIE 5</t>
  </si>
  <si>
    <t>CINEY</t>
  </si>
  <si>
    <t xml:space="preserve">SRI Ciney </t>
  </si>
  <si>
    <t>RUE WALTER SŒUR,50</t>
  </si>
  <si>
    <t>SAMBREVILLE</t>
  </si>
  <si>
    <t>Service d'Incendie TAMINES</t>
  </si>
  <si>
    <t>RUE DES VIGNES</t>
  </si>
  <si>
    <t xml:space="preserve">VRESSE </t>
  </si>
  <si>
    <t>Service d'Incendie de ALLE SUR SEMOIS ( VRESSE )</t>
  </si>
  <si>
    <t>RUE DE LA RINGE, 129</t>
  </si>
  <si>
    <t>DINANT</t>
  </si>
  <si>
    <t>Service d'Incendie DINANT</t>
  </si>
  <si>
    <t>ROUTE DE PHILIPPEVILLE 236</t>
  </si>
  <si>
    <t>Service d'Incendie NAMUR</t>
  </si>
  <si>
    <t>RUE DES BOURGEOIS 12</t>
  </si>
  <si>
    <t>NAMUR / SAINT SERVAIS</t>
  </si>
  <si>
    <t>Croix Rouge NAMUR</t>
  </si>
  <si>
    <t>RUE DE L'INDUSTRIE 124</t>
  </si>
  <si>
    <t>BEAURAING</t>
  </si>
  <si>
    <t>Service d'Incendie BEAURAING</t>
  </si>
  <si>
    <t>RUE DU LUXEMBOURG 26</t>
  </si>
  <si>
    <t>EGHEZEE</t>
  </si>
  <si>
    <t>Perimeter</t>
  </si>
  <si>
    <t>Neen</t>
  </si>
  <si>
    <t>1 perimeter</t>
  </si>
  <si>
    <t>Meer dan 1 perimeter passeren  : geef het aantal</t>
  </si>
  <si>
    <t>Totale populatie</t>
  </si>
  <si>
    <t>Gemiddelde duur van de verzorging in minuten</t>
  </si>
  <si>
    <t>Adres van de manifestatie</t>
  </si>
  <si>
    <t>Duur van de manifestatie</t>
  </si>
  <si>
    <t>Aantal uur :</t>
  </si>
  <si>
    <t>a</t>
  </si>
  <si>
    <t>HOUTHULST</t>
  </si>
  <si>
    <t>Brandweer HOUTHULST</t>
  </si>
  <si>
    <t>KOUTERSTRAAT 46</t>
  </si>
  <si>
    <t>ROESBRUGGE</t>
  </si>
  <si>
    <t>Brandweer ROESBRUGGE-HARINGE-POPERINGE</t>
  </si>
  <si>
    <t>HARINGESTRAAT 26 A</t>
  </si>
  <si>
    <t>VEURNE</t>
  </si>
  <si>
    <t>Brandweer VEURNE</t>
  </si>
  <si>
    <t>OPMERKING : WAAROM DEZE VRAGEN</t>
  </si>
  <si>
    <t>Vermoedelijke inzet</t>
  </si>
  <si>
    <t>0-28  =&gt;  2</t>
  </si>
  <si>
    <t>29-39  =&gt;  3</t>
  </si>
  <si>
    <t>HOVESTRAAT 44</t>
  </si>
  <si>
    <t>Brandweer BALEN</t>
  </si>
  <si>
    <t>VREDELAAN 1</t>
  </si>
  <si>
    <t>RUE E. SOYER 7</t>
  </si>
  <si>
    <t>BRUXELLES SI - Brandweer Brussel + PIT ST PIERRE</t>
  </si>
  <si>
    <t>AVENUE DE L' HELIPORT 11-15</t>
  </si>
  <si>
    <t>GOSSELIES</t>
  </si>
  <si>
    <t>ASBL BHN AMBU</t>
  </si>
  <si>
    <t>Faubourg de BRUXELLES 154</t>
  </si>
  <si>
    <t>HMRA</t>
  </si>
  <si>
    <t>RUE BRUYN 1</t>
  </si>
  <si>
    <t>JODOIGNE</t>
  </si>
  <si>
    <t>SC PERSON AID</t>
  </si>
  <si>
    <t>RUE DE LA MALADRERIE 100</t>
  </si>
  <si>
    <t>LEUVEN</t>
  </si>
  <si>
    <t>Un .Ziek. GASTHUISBERG LEUVEN</t>
  </si>
  <si>
    <t>HERESTRAAT  49</t>
  </si>
  <si>
    <t>VLAAMS BRABANT</t>
  </si>
  <si>
    <t xml:space="preserve">PIT LEUVEN   </t>
  </si>
  <si>
    <t>Service d'incendie d' ARLON</t>
  </si>
  <si>
    <t>DREVE DES ESPAGNOLS 101</t>
  </si>
  <si>
    <t>Luxembourg</t>
  </si>
  <si>
    <t>SAINT-HUBERT</t>
  </si>
  <si>
    <t>Service d'Incendie SAINT-HUBERT</t>
  </si>
  <si>
    <t>ROUTE DE POIX 23</t>
  </si>
  <si>
    <t>FLORENVILLE</t>
  </si>
  <si>
    <t>BLS aangepast nee terug zoals versie 22</t>
  </si>
  <si>
    <t>Brandweer GISTEL</t>
  </si>
  <si>
    <t>NEERHOFSTRAAT 16 B</t>
  </si>
  <si>
    <t>WEVELGEM-MOORSELE</t>
  </si>
  <si>
    <t>Brandweer WEVELGEM-MOORSELE</t>
  </si>
  <si>
    <t>BURG. PAREITLAAN 12A</t>
  </si>
  <si>
    <t>NIEUWPOORT</t>
  </si>
  <si>
    <t>Brandweer NIEUWPOORT</t>
  </si>
  <si>
    <t>GASSTRAAT 37</t>
  </si>
  <si>
    <t>DIKSMUIDE</t>
  </si>
  <si>
    <t>Brandweer DIKSMUIDE</t>
  </si>
  <si>
    <t>HEERNISSE 4</t>
  </si>
  <si>
    <t>IEPER</t>
  </si>
  <si>
    <t>Regionaal ZH JAN YPERMAN</t>
  </si>
  <si>
    <t>BRIEKESTRAAT 12</t>
  </si>
  <si>
    <t>KOKSIJDE</t>
  </si>
  <si>
    <t>Brandweer KOKSIJDE</t>
  </si>
  <si>
    <t>Zeelaan 37</t>
  </si>
  <si>
    <t>PIT AZ St. Jan AV Brugge</t>
  </si>
  <si>
    <t>Ruddershove 10</t>
  </si>
  <si>
    <t>PIT AZ St. Lucas Brugge</t>
  </si>
  <si>
    <t>Sint Lucaslaan 29</t>
  </si>
  <si>
    <t>PROVINCIE</t>
  </si>
  <si>
    <t>Terug naar invulluik</t>
  </si>
  <si>
    <t>Spoedgevallendiensten</t>
  </si>
  <si>
    <t>BORGERHOUT</t>
  </si>
  <si>
    <t>DUERNE</t>
  </si>
  <si>
    <r>
      <t xml:space="preserve">Ziekenhuis OOST-LIMBURG Campus St.-Jan </t>
    </r>
    <r>
      <rPr>
        <b/>
        <sz val="12"/>
        <color indexed="8"/>
        <rFont val="Arial"/>
        <family val="2"/>
      </rPr>
      <t>(PIT)</t>
    </r>
  </si>
  <si>
    <r>
      <t>R</t>
    </r>
    <r>
      <rPr>
        <sz val="12"/>
        <color indexed="10"/>
        <rFont val="Arial"/>
        <family val="2"/>
      </rPr>
      <t>ue de la Duchère, 6</t>
    </r>
  </si>
  <si>
    <t>cel B25 aangepast zodat er bij verzorgingen altijd 1 simultane behandeling is</t>
  </si>
  <si>
    <t>Insektenbeten</t>
  </si>
  <si>
    <t>Uitputting</t>
  </si>
  <si>
    <t>blanco</t>
  </si>
  <si>
    <t>2.3. Plaatsing van medische middelen</t>
  </si>
  <si>
    <t>Artsen en verpleegkundigen</t>
  </si>
  <si>
    <t>Andere hulpverleners</t>
  </si>
  <si>
    <t>Hulpposten</t>
  </si>
  <si>
    <t>*** Specifieer het aantal en de plaatsing ***</t>
  </si>
  <si>
    <t>Opmerking : indien deze documenten niet tijdig overgemaakt worden, leidt dit automatisch tot een negatief advies vanwege de PCDGH en dreigt de manifestatie niet te kunnen doorgaan.</t>
  </si>
  <si>
    <t>Moet de hulpverlening verdeeld worden over meerdere hulpposten</t>
  </si>
  <si>
    <t>3. ANDERE MAATREGELEN</t>
  </si>
  <si>
    <t>Ambulanciers</t>
  </si>
  <si>
    <t>voornaam</t>
  </si>
  <si>
    <t>privéadres</t>
  </si>
  <si>
    <t>straat</t>
  </si>
  <si>
    <t>nr</t>
  </si>
  <si>
    <t>gemeente</t>
  </si>
  <si>
    <t>GSM nummer</t>
  </si>
  <si>
    <t>RIZIV-nummer</t>
  </si>
  <si>
    <t>naam</t>
  </si>
  <si>
    <t>Badge-nummer</t>
  </si>
  <si>
    <t>Schema voorwaarden knoppen en afdrukken brieven</t>
  </si>
  <si>
    <t>KNOPPEN</t>
  </si>
  <si>
    <t>BRIEVEN</t>
  </si>
  <si>
    <t>waardeluik1.1</t>
  </si>
  <si>
    <t>waardeluik2.1
waardeluik2.2</t>
  </si>
  <si>
    <t>SCORE J54 ==&gt; G50 OF INTERPRETATIEG50</t>
  </si>
  <si>
    <t>Lengte van manifestatie in km wanneer geen oppervlakte gegeven wordt.</t>
  </si>
  <si>
    <t>Een aantal manifestatiegangers vertonen soms een duidelijk negatief gedrag.  Zijn er procedures opgesteld voor de organisator en/of de hulpdiensten om een eventueel negatief gedrag te counteren</t>
  </si>
  <si>
    <t>BIJSTURING NAAR AANTAL PODIA =&gt; DEFINITIEF AANTAL BLS-PLOEGEN</t>
  </si>
  <si>
    <t>Tel nr of GSM nummer</t>
  </si>
  <si>
    <t>4. ANDERE MAATREGELEN</t>
  </si>
  <si>
    <t>4.1. Maatregelen voor omwonenden</t>
  </si>
  <si>
    <t>4.2. Maatregelen voor het multidisciplinaire overleg</t>
  </si>
  <si>
    <t>4.3. Maatregelen betreffende het MIP</t>
  </si>
  <si>
    <t>4.4. Andere maatregelen i.v.m. de Volksgezondheid</t>
  </si>
  <si>
    <t>4.5. Verdere administratieve gegevens</t>
  </si>
  <si>
    <t>5. OVERZICHT VAN DE GEBRUIKTE VARIABELEN</t>
  </si>
  <si>
    <t>5.1. Isolatierisico</t>
  </si>
  <si>
    <t>5.2. Factoren die de ziektetoestand bepalen/beïnvloeden</t>
  </si>
  <si>
    <t>Zonnebrand kan leiden tot vermijdbare problemen bij de manifestatiebezoekers.  Werd bij de aanloop naar de manifestatie in de media en/of via andere kanalen (bv. begeleidend bij het ticket) aan de bezoekers gevraagd om een zonnebril, een hoofddeksel en zonnecrème mee te brengen</t>
  </si>
  <si>
    <t>rij 69 onzichtbaar maken</t>
  </si>
  <si>
    <t>rij 121 tot 126 onzichtbaar maken</t>
  </si>
  <si>
    <t>Luik 6</t>
  </si>
  <si>
    <t>rij 15 - 22 onzichtbaar maken</t>
  </si>
  <si>
    <t>rij 16 - 23 onzichtbaar maken</t>
  </si>
  <si>
    <t>de helblauwe tabbladen : deel 1 brief en deel 2 brief mogen niet beveiligd worden met paswoord en tabblad "organisator" (moet beveiligd met paswoord rampen).</t>
  </si>
  <si>
    <t>Trauma tgv vechtpartijen</t>
  </si>
  <si>
    <t>Snijverwondingen</t>
  </si>
  <si>
    <t>Onderkoeling</t>
  </si>
  <si>
    <t>Verdrinking</t>
  </si>
  <si>
    <t>Zonnebrand</t>
  </si>
  <si>
    <t>CO vergiftging</t>
  </si>
  <si>
    <t>Service d'Incendie. EGHEZEE</t>
  </si>
  <si>
    <t>Luik rampen</t>
  </si>
  <si>
    <t>rij 20 - 27 onzichtbaar maken</t>
  </si>
  <si>
    <t>11.</t>
  </si>
  <si>
    <t>HAMONT-ACHEL</t>
  </si>
  <si>
    <t>Rode Kruis HAMONT-ACHEL</t>
  </si>
  <si>
    <t>STEENSTRAAT 5</t>
  </si>
  <si>
    <t>LEOPOLDSBURG</t>
  </si>
  <si>
    <t>Brandweer LEOPOLDSBURG</t>
  </si>
  <si>
    <t>Aantal podia of tenten waar minimaal 500 mensen samen zijn</t>
  </si>
  <si>
    <t>Internationale uitstraling en taalproblematiek (&gt; 9 % buitenlanders verwacht)</t>
  </si>
  <si>
    <t>Aanwezigheid van gevaarlijke dieren</t>
  </si>
  <si>
    <t>Voorstel van aanpassing : bij rand 1 ambulance meer : dit zou moeten beperkt worden tot N=2 ambulances !!</t>
  </si>
  <si>
    <t>Indien een hittegolf verwacht wordt tijdens de manifestatie moet rekening gehouden worden met de RODE cijfers.  De verwachting moet minimaal 2 dagen voor de manifestatie van start gaat gekend zijn</t>
  </si>
  <si>
    <t>KLINIEK ST.-JAN - CLINIQUE ST. JEAN</t>
  </si>
  <si>
    <t>KRUIDTUINLAAN 32</t>
  </si>
  <si>
    <t>Brussel</t>
  </si>
  <si>
    <t>Hitte kan leiden tot het overvragen van medische middelen op het terrein en zelfs tot coma, vooral door uitdroging.  Daarom moet de organisator zorgen voor gratis drinkwater vanaf een basistemperatuur van meer dan 27 °C</t>
  </si>
  <si>
    <t>SALVATORSTRAAT 20</t>
  </si>
  <si>
    <t>Limburg</t>
  </si>
  <si>
    <t>VIRGA JESSE ZIEKENHUIS</t>
  </si>
  <si>
    <t>3550</t>
  </si>
  <si>
    <t>HEUSDEN</t>
  </si>
  <si>
    <t>ST. FRANCISKUSZIEKENHUIS</t>
  </si>
  <si>
    <t>PASTOOR PAQUAYLAAN 129</t>
  </si>
  <si>
    <t>3600</t>
  </si>
  <si>
    <t>ZIEKENHUIS OOST - LIMBURG</t>
  </si>
  <si>
    <t>3680</t>
  </si>
  <si>
    <t>ZIEKENHUIS MAAS EN KEMPEN</t>
  </si>
  <si>
    <t>MGR. KONINGSSTRAAT 10</t>
  </si>
  <si>
    <t>3700</t>
  </si>
  <si>
    <t>brief
1 = geen inzet
2 = beperkte inzet
3 = advies FOD</t>
  </si>
  <si>
    <t>geen medische inzet</t>
  </si>
  <si>
    <t>HEUSDEN-ZOLDER</t>
  </si>
  <si>
    <t>Brandweer HEUSDEN/ZOLDER</t>
  </si>
  <si>
    <t>KOERSELSEBAAN 59</t>
  </si>
  <si>
    <t>MAASEIK</t>
  </si>
  <si>
    <t>Brandweer MAASEIK</t>
  </si>
  <si>
    <t>GREMELSLOWEG, 7A</t>
  </si>
  <si>
    <t>LOMMEL</t>
  </si>
  <si>
    <t>Brandweer LOMMEL</t>
  </si>
  <si>
    <t>NORBERT NEECKXLAAN 52</t>
  </si>
  <si>
    <t>TONGEREN</t>
  </si>
  <si>
    <t xml:space="preserve">AZ VESALIUS Campus ST.-JACOBS </t>
  </si>
  <si>
    <t>HAZELEREIK  51</t>
  </si>
  <si>
    <t>De gegevens betreffende de verzekering werden niet ingevuld.  Een verzekering moet zeker geregeld worden wanneer er een advies gevraagd wordt van de gezondheidsinspectie omdat het dan om een grote manifestatie gaat.</t>
  </si>
  <si>
    <t>Organisator</t>
  </si>
  <si>
    <t>De  telefoon van de organisator is niet ingevuld.  Het is raadzaam om geen advies te verlenen wanneer de organisator niet bereikbaar is.</t>
  </si>
  <si>
    <t>De naam van de organisator  is niet ingevuld.  Het is raadzaam om geen advies te verlenen wanneer de organisator niet gekend is.</t>
  </si>
  <si>
    <t>Reputatie van de organisator</t>
  </si>
  <si>
    <t>Uiterste datum van overmaking :</t>
  </si>
  <si>
    <t>LUIK 3 : EIGENLIJKE RISICO-ANALYSE VOLGENS GESELECTEERDE VRAAGSTELLING
VRAAGSTELLING MET SCORE</t>
  </si>
  <si>
    <t>keuze</t>
  </si>
  <si>
    <t>10.</t>
  </si>
  <si>
    <t>Met de onderstaande knoppen kunnen de nodige brieven worden afgeprint.</t>
  </si>
  <si>
    <t>Brief 1 geeft een beknopte weergave van de manifestatie waaruit blijkt dat er geen medische inzet is vereist.</t>
  </si>
  <si>
    <t>Dit document moet worden opgeslagen en naar de rampenambtenaar van de gemeente waar de manifestatie plaatsvindt gemaild worden.</t>
  </si>
  <si>
    <t>Opgeslagen bestand mailen naar :</t>
  </si>
  <si>
    <t>Overloop eerst of alle gegevens correct zijn ingevuld en druk dan op verder.</t>
  </si>
  <si>
    <t>Gemeente  ESSEN</t>
  </si>
  <si>
    <t>HEUVELPLEIN 23</t>
  </si>
  <si>
    <t>Brandweer TURNHOUT</t>
  </si>
  <si>
    <t>PARKLAAN 12</t>
  </si>
  <si>
    <t>Gemeente KALMTHOUT</t>
  </si>
  <si>
    <t>KERKENEIND 17</t>
  </si>
  <si>
    <t>Brandweer WILLEBROEK</t>
  </si>
  <si>
    <t>BRANDWEERPLEIN 1</t>
  </si>
  <si>
    <t>Brandweer BORNEM</t>
  </si>
  <si>
    <t>LINDESTRAAT 136</t>
  </si>
  <si>
    <t>Brandweer MALLE</t>
  </si>
  <si>
    <t>TURNHOUTSEBAAN 8</t>
  </si>
  <si>
    <t>AMBULANCEDIENST  BEERSE</t>
  </si>
  <si>
    <t>IJZERSTRAAT 3</t>
  </si>
  <si>
    <t>AMBUMED</t>
  </si>
  <si>
    <t>BIJKHOEVELAAN 8</t>
  </si>
  <si>
    <t>DEURNE</t>
  </si>
  <si>
    <t>MONICA Deurne</t>
  </si>
  <si>
    <t>GENT</t>
  </si>
  <si>
    <t>Brandweer GENT</t>
  </si>
  <si>
    <t>ROGGESTRAAT 70</t>
  </si>
  <si>
    <t>AALTER</t>
  </si>
  <si>
    <t>Brandweer AALTER</t>
  </si>
  <si>
    <t>ST GEROLFLAAN 10 A</t>
  </si>
  <si>
    <t>OUDENAARDE</t>
  </si>
  <si>
    <t>AZ OUDENAARDE</t>
  </si>
  <si>
    <t>SINT WALBURGASTRAAT 9</t>
  </si>
  <si>
    <t>KRUIBEKE</t>
  </si>
  <si>
    <t>Brandweer KRUIBEKE</t>
  </si>
  <si>
    <t>O. L. VROUW PLEIN 19</t>
  </si>
  <si>
    <t>ST GILLIS WAAS</t>
  </si>
  <si>
    <t>Brandweer ST.-GILLIS WAAS</t>
  </si>
  <si>
    <t>BLOKSTRAAT 103</t>
  </si>
  <si>
    <t>MALDEGEM</t>
  </si>
  <si>
    <t>Brandweer MALDEGEM</t>
  </si>
  <si>
    <t>BLOEMDAELLAAN 4</t>
  </si>
  <si>
    <t>LOKEREN</t>
  </si>
  <si>
    <t>AZ LOKEREN + PIT</t>
  </si>
  <si>
    <t>LEPELSTRAAT 4</t>
  </si>
  <si>
    <t>WETTEREN</t>
  </si>
  <si>
    <t>Brandweer WETTEREN</t>
  </si>
  <si>
    <t>ZUIDERDIJK 1</t>
  </si>
  <si>
    <t>AALST</t>
  </si>
  <si>
    <t>Brandweer AALST</t>
  </si>
  <si>
    <t>VRIJHEIDSSTRAAT 55</t>
  </si>
  <si>
    <t>DENDERMONDE</t>
  </si>
  <si>
    <t>Brandweer DENDERMONDE</t>
  </si>
  <si>
    <t>Wanneer de hygiëne in de mobiele toiletten niet geregeld is (regelmatig kuisen + leegmaken) zullen deze toiletten niet of nauwelijks gebruikt worden.  De omgeving zal dan gebruikt worden als toilet.  Niet alleen moet een dienst hiervoor aangeduid worden; er moet ook een verantwoordelijke bereikbaar zijn in geval er vragen zijn vanuit de CP-OPS</t>
  </si>
  <si>
    <t>GENTBRUGGE</t>
  </si>
  <si>
    <t>LIFE CARE</t>
  </si>
  <si>
    <t>STEENVOORDELAAN 32</t>
  </si>
  <si>
    <t>BRAKEL</t>
  </si>
  <si>
    <t>VITA BRAKEL</t>
  </si>
  <si>
    <t>KERKHOFSTR.46</t>
  </si>
  <si>
    <t>ASSENEDE</t>
  </si>
  <si>
    <t>Brandweer ASSENEDE</t>
  </si>
  <si>
    <t>MOLENSTRAAT 54A</t>
  </si>
  <si>
    <t>BRAINE-LE-COMTE</t>
  </si>
  <si>
    <t>Service d'Incendie BRAINE-LE-COMTE</t>
  </si>
  <si>
    <t>RUE DES ETATS-UNIS 9</t>
  </si>
  <si>
    <t>HAINAUT</t>
  </si>
  <si>
    <t>GILLY</t>
  </si>
  <si>
    <t>S.A.P.G</t>
  </si>
  <si>
    <t>RUE HORACE PIERARD 84</t>
  </si>
  <si>
    <t>PIT Gilly</t>
  </si>
  <si>
    <t>THUIN</t>
  </si>
  <si>
    <t>BRUXELLES</t>
  </si>
  <si>
    <t>CROIX ROUGE DE BELGIQUE</t>
  </si>
  <si>
    <t>Rue de STALLE 96</t>
  </si>
  <si>
    <t>LA HULPE</t>
  </si>
  <si>
    <t>ADM. COMM. LA HULPE</t>
  </si>
  <si>
    <t>VERSIE 25 - 2011 02 18</t>
  </si>
  <si>
    <t>Sla voordat u begint met in te vullen steeds het bestand op onder de aangewezen naam. Zo heeft u steeds een origineel oningevuld bestand. :
            Voor de organisator : PRIMA_25_0RG_naam van de manifestatie_datum
            Voor de rampenambtenaar : PRIMA_25_RAMP_naam van de manifestatie_datum</t>
  </si>
  <si>
    <t>Cfr. 202 + 263 + 265 + 262 + 208</t>
  </si>
  <si>
    <t>Brandweer LEUVEN</t>
  </si>
  <si>
    <t>TERBANKSTRAAT 20</t>
  </si>
  <si>
    <t>HALLE</t>
  </si>
  <si>
    <t>Brandweer HALLE</t>
  </si>
  <si>
    <t>J. POSSOZPLEIN  46</t>
  </si>
  <si>
    <t>LENNIK</t>
  </si>
  <si>
    <t>Brandweer LENNIK</t>
  </si>
  <si>
    <t>K. KEYMOLENSTRAAT  4</t>
  </si>
  <si>
    <t>ASSE</t>
  </si>
  <si>
    <t>Brandweer ASSE</t>
  </si>
  <si>
    <t>ARSENAALSTRAAT  49</t>
  </si>
  <si>
    <t>LIEDEKERKE</t>
  </si>
  <si>
    <t>Civiele Bescherming LIEDEKERKE</t>
  </si>
  <si>
    <t>KAPELLEBAAN  30</t>
  </si>
  <si>
    <t>TIENEN</t>
  </si>
  <si>
    <t>Brandweer TIENEN</t>
  </si>
  <si>
    <t>DIESTSESTEENWEG  360</t>
  </si>
  <si>
    <t>ZAVENTEM</t>
  </si>
  <si>
    <t>Brandweer ZAVENTEM</t>
  </si>
  <si>
    <t>LEUVENSESTEENWEG 550</t>
  </si>
  <si>
    <t>VILVOORDE</t>
  </si>
  <si>
    <t>Brandweer VILVOORDE</t>
  </si>
  <si>
    <t>RONDEWEG  32</t>
  </si>
  <si>
    <t>DIEST</t>
  </si>
  <si>
    <t>ALGEMEEN Ziekenhuis DIEST</t>
  </si>
  <si>
    <t>MICHEL THEYSSTRAAT  18</t>
  </si>
  <si>
    <t>LONDERZEEL</t>
  </si>
  <si>
    <t>Brandweer LONDERZEEL</t>
  </si>
  <si>
    <t>MECHELSESTRAAT  72</t>
  </si>
  <si>
    <t>LANDEN</t>
  </si>
  <si>
    <t>Brandweer LANDEN</t>
  </si>
  <si>
    <t>Er is een beperkte hulppost vereist. De aanwezigheid van vepleegkundige, ziekenwagen of MUG is hier niet nodig</t>
  </si>
  <si>
    <t>Er is geen Medische inzet vereist</t>
  </si>
  <si>
    <t>CHAUSSEE DE NAMUR 28</t>
  </si>
  <si>
    <t>COUVIN</t>
  </si>
  <si>
    <t>Service d'Incendie COUVIN</t>
  </si>
  <si>
    <t>TIENNE DE BOUSSU 1</t>
  </si>
  <si>
    <t>PHILIPPEVILLE</t>
  </si>
  <si>
    <t>Croix Rouge PHILIPPEVILLE</t>
  </si>
  <si>
    <t>BOULEVARD DE L'ENSEIGNEMENT 1</t>
  </si>
  <si>
    <t>SAUVENIERE</t>
  </si>
  <si>
    <t>Service d'Incendie GEMBLOUX</t>
  </si>
  <si>
    <t>RUE DU STORDOIR 50</t>
  </si>
  <si>
    <t>ANDENNE</t>
  </si>
  <si>
    <t>Service d'Incendie ANDENNE</t>
  </si>
  <si>
    <t>AV REINE ELISABETH 150</t>
  </si>
  <si>
    <t>IMELDA Ziekenhuis</t>
  </si>
  <si>
    <t>IMELDALAAN 9</t>
  </si>
  <si>
    <t>ST.-MAARTEN Campus Duffel</t>
  </si>
  <si>
    <t>ROOIENBERG 25</t>
  </si>
  <si>
    <t>KLINIEK H.-HART</t>
  </si>
  <si>
    <t>MECHELSESTRAAT 24</t>
  </si>
  <si>
    <t xml:space="preserve">AZ ST.-JOZEF </t>
  </si>
  <si>
    <t>OUDE LIERSEBAAN 4</t>
  </si>
  <si>
    <t>HEIST OP DEN BERG</t>
  </si>
  <si>
    <t>Brandweer HEIST-OP-DEN-BERG</t>
  </si>
  <si>
    <t>BROEKSTRAAT 46A</t>
  </si>
  <si>
    <t>Brandweer ANTWERPEN</t>
  </si>
  <si>
    <t>NOORDERLAAN 69</t>
  </si>
  <si>
    <t>MERKSEM</t>
  </si>
  <si>
    <t>ZNA campus JAN PALFIJN</t>
  </si>
  <si>
    <t>LANGE BREMSTRAAT 70</t>
  </si>
  <si>
    <t>ZNA campus STUIVENBERG</t>
  </si>
  <si>
    <t>LANGE BEELDEKENSSTRAAT 267</t>
  </si>
  <si>
    <t>Brandweer WESTERLO</t>
  </si>
  <si>
    <t>VISMARKT 24</t>
  </si>
  <si>
    <t>Rode Kruis ARENDONK</t>
  </si>
  <si>
    <t>Kramen waar vuur gemaakt wordt, moeten beantwoorden aan de vereisten van de brandweer.  Een minimale vereiste is uiteraard de aanwezigheid van een brandblusapparaat</t>
  </si>
  <si>
    <t>De drinkwatervoorziening moet een voldoende groot debiet hebben !</t>
  </si>
  <si>
    <t>Er moet voldoende douchemogelijkheid aanwezig zijn !!</t>
  </si>
  <si>
    <t>WELKENRAEDT</t>
  </si>
  <si>
    <t>Service d'Incendie WELKENRAEDT</t>
  </si>
  <si>
    <t>RUE MITOYENNE 229</t>
  </si>
  <si>
    <t>HERSTAL</t>
  </si>
  <si>
    <t>PIT Andre Renard HERSTAL</t>
  </si>
  <si>
    <t>RUE ANDRE RENARD 1</t>
  </si>
  <si>
    <t>HUY</t>
  </si>
  <si>
    <t>Service d'Incendie HUY</t>
  </si>
  <si>
    <t>RUE DE LA MAIRIE 30</t>
  </si>
  <si>
    <t>Croix Rouge HERSTAL</t>
  </si>
  <si>
    <t>Functie van de verantwoordelijke tijdens de manifestatie</t>
  </si>
  <si>
    <t>Geef het nummer van de CP-OPS (overleg met de verpleegkundige + zorgen voor parking)</t>
  </si>
  <si>
    <t>Vraag of het mogelijk is dat de apotheker van wacht gewisseld wordt.
INDIEN DIT NIET MOGELIJK IS : zorg voor een vrije toegang tot aan de apotheek</t>
  </si>
  <si>
    <t>Ga bij de brandweer na of de capaciteit van de nutsvoorzieningen toereikend is voor de vereisten van deze manifestatie.  
Ga tevens na dat de plaatsing niet zorgt voor onveiligheid en/of problemen voor de verkeersflow van de medische diensten</t>
  </si>
  <si>
    <t>OUDE VESTINGSTRAAT 30</t>
  </si>
  <si>
    <t>Werd het aanvraagformulier met relevante informatie overgemaakt aan het HC100 (DOC 100)</t>
  </si>
  <si>
    <t>SOLD-OUT</t>
  </si>
  <si>
    <t>Verhoging van populatie bij SOLD-OUT</t>
  </si>
  <si>
    <t>=ALS(LUIK5!F13&lt;&gt;0;"neen";"ja")</t>
  </si>
  <si>
    <t>cel E90</t>
  </si>
  <si>
    <t>cel E93</t>
  </si>
  <si>
    <t>=ALS(LUIK5!F13&lt;&gt;0;"ja";"NEEN")</t>
  </si>
  <si>
    <t>Politieke manifestatie</t>
  </si>
  <si>
    <t>Ballonvaart</t>
  </si>
  <si>
    <t>T3</t>
  </si>
  <si>
    <t>Schatting workload</t>
  </si>
  <si>
    <t>MUG</t>
  </si>
  <si>
    <t>AMB</t>
  </si>
  <si>
    <t>Arts</t>
  </si>
  <si>
    <t>VP</t>
  </si>
  <si>
    <t>Hulpv</t>
  </si>
  <si>
    <t>BLS</t>
  </si>
  <si>
    <t>Voorgestelde inzet</t>
  </si>
  <si>
    <t xml:space="preserve">Naam </t>
  </si>
  <si>
    <t xml:space="preserve">Type </t>
  </si>
  <si>
    <t>Invulregel</t>
  </si>
  <si>
    <t>e-mail</t>
  </si>
  <si>
    <t>Simultaan</t>
  </si>
  <si>
    <t>Factor</t>
  </si>
  <si>
    <t>Ziekte_zw</t>
  </si>
  <si>
    <t>ASTRID
groep</t>
  </si>
  <si>
    <t>Service d'Incendie LESSINES</t>
  </si>
  <si>
    <t>RUE DES 4 FILS AYMONT 52B</t>
  </si>
  <si>
    <t>BEAUMONT</t>
  </si>
  <si>
    <t>Service d'Incendie BEAUMONT</t>
  </si>
  <si>
    <t>CHAUSSEE  DE MONS 17</t>
  </si>
  <si>
    <t>PERUWELZ</t>
  </si>
  <si>
    <t>Service d'Incendie PERUWELZ</t>
  </si>
  <si>
    <t>RUE CASTIAU 13</t>
  </si>
  <si>
    <t>CUESMES</t>
  </si>
  <si>
    <t>Service d'Incendie MONS</t>
  </si>
  <si>
    <t>Rue des Sandrinettes 29</t>
  </si>
  <si>
    <t>MOUSCRON</t>
  </si>
  <si>
    <t>Service d'Incendie MOUSCRON</t>
  </si>
  <si>
    <t>AVENUE DU BARRY 9</t>
  </si>
  <si>
    <t>LEUZE-EN-HAINAUT</t>
  </si>
  <si>
    <t>Service d'Incendie LEUZE-EN-HAINAUT</t>
  </si>
  <si>
    <t>TOUR ST PIERRE 13</t>
  </si>
  <si>
    <t>SOIGNIES</t>
  </si>
  <si>
    <t>3.1. Maatregelen voor omwonenden</t>
  </si>
  <si>
    <t>3.2. Maatregelen voor het multidisciplinaire overleg</t>
  </si>
  <si>
    <t>3.3. Maatregelen betreffende het MIP</t>
  </si>
  <si>
    <t>3.4. Andere maatregelen i.v.m. de Volksgezondheid</t>
  </si>
  <si>
    <t>4. OVERZICHT VAN DE GEBRUIKTE VARIABELEN</t>
  </si>
  <si>
    <t>4.1. Isolatierisico</t>
  </si>
  <si>
    <t>4.2. Populatierisico</t>
  </si>
  <si>
    <t>= in te vullen</t>
  </si>
  <si>
    <t>= automatisch</t>
  </si>
  <si>
    <t>ONZE REF :</t>
  </si>
  <si>
    <t>DATUM :</t>
  </si>
  <si>
    <t>Brief 2 geeft de aandachtspunten weer. De bedoeling is om de aandacht van de organisator te trekken op deze problematiek.</t>
  </si>
  <si>
    <t>1. ALGEMENE GEGEVENS VOOR DE MANIFESTATIE</t>
  </si>
  <si>
    <t>2. MEDISCHE ANTENNE</t>
  </si>
  <si>
    <t>2.1. Is er een nood aan een medische antenne</t>
  </si>
  <si>
    <t>2.2 Verwachte workload en pathologie</t>
  </si>
  <si>
    <t>Workload</t>
  </si>
  <si>
    <t>Pathologie</t>
  </si>
  <si>
    <t>Niet van toepassing</t>
  </si>
  <si>
    <t>Ziekte tgv alcoholmisbruik</t>
  </si>
  <si>
    <t>Drugsintoxicatie</t>
  </si>
  <si>
    <t>Trauma tgv valpartijen</t>
  </si>
  <si>
    <t>Einddatum van de afbraak van de manifestatie</t>
  </si>
  <si>
    <t>waardeluik3</t>
  </si>
  <si>
    <t>waardeluik4</t>
  </si>
  <si>
    <t>waardeinzet</t>
  </si>
  <si>
    <t>Hier in sommige velden controleren of luik 2 is ingevuld en medische inzet = NEEN of als medische inzet = JA contorleren dat luik 3 is ingevuld : Als niet aan deze voorwaarden is voldaan ==&gt; ?? Ipv (is de brief waardeloos maken als aan deze voorwaarden niet is voldaan)</t>
  </si>
  <si>
    <t>&gt; 65 jaar</t>
  </si>
  <si>
    <t>Aanwezigheid van kinderen &lt; 10 jaar zonder begeleiding</t>
  </si>
  <si>
    <t>&lt; 10 jaar met begeleiding van de ouders</t>
  </si>
  <si>
    <t>&lt; 10 jaar zonder begeleiding van de ouders</t>
  </si>
  <si>
    <t>3,4 Overige verantwoordelijken</t>
  </si>
  <si>
    <t>functie</t>
  </si>
  <si>
    <t>BRUGGE</t>
  </si>
  <si>
    <t>Brandweer BRUGGE</t>
  </si>
  <si>
    <t>PATHOEKEWEG 215</t>
  </si>
  <si>
    <t>KORTRIJK</t>
  </si>
  <si>
    <t>Brandweer KORTRIJK</t>
  </si>
  <si>
    <t>DOORNIKSESTEENWEG 214 A</t>
  </si>
  <si>
    <t>POPERINGE</t>
  </si>
  <si>
    <t>BW POPERINGE</t>
  </si>
  <si>
    <t>DOORNSTRAAT 45</t>
  </si>
  <si>
    <t>IZEGEM</t>
  </si>
  <si>
    <t>Brandweer IZEGEM</t>
  </si>
  <si>
    <t>DIRK MARTENSLAAN 15</t>
  </si>
  <si>
    <t>LICHTERVELDE</t>
  </si>
  <si>
    <t>Brandweer LICHTERVELDE</t>
  </si>
  <si>
    <t>BEVERENSTRAAT 16</t>
  </si>
  <si>
    <t>LENDELEDE</t>
  </si>
  <si>
    <t>Rode Kruis LENDELEDE</t>
  </si>
  <si>
    <t>IZEGEMSESTRAAT 17</t>
  </si>
  <si>
    <t>BLANKENBERGE</t>
  </si>
  <si>
    <t>Brandweer BLANKENBERGE</t>
  </si>
  <si>
    <t>VREDELAAN 27</t>
  </si>
  <si>
    <t>HARELBEKE</t>
  </si>
  <si>
    <t>Brandweer HARELBEKE</t>
  </si>
  <si>
    <t>TWEEBRUGGENSTRAAT 2</t>
  </si>
  <si>
    <t>Brandweer WAREGEM</t>
  </si>
  <si>
    <t>WEVERSTRAAT 11</t>
  </si>
  <si>
    <t>GISTEL</t>
  </si>
  <si>
    <t>Formules in cellen die gewist kunnen worden</t>
  </si>
  <si>
    <t>cel E11</t>
  </si>
  <si>
    <t>=IF(E10=0;"";IF(E10&lt;&gt;"";"niet van toepassing";""))</t>
  </si>
  <si>
    <t>=IF('LUIK 1 - AANVRAAG'!I18=0;"NEEN";"JA")</t>
  </si>
  <si>
    <t>cel E18</t>
  </si>
  <si>
    <t>cel E19</t>
  </si>
  <si>
    <t>cel E20</t>
  </si>
  <si>
    <t>cel E21</t>
  </si>
  <si>
    <t>cel E22</t>
  </si>
  <si>
    <t>cel E23</t>
  </si>
  <si>
    <t>=IF($E$18="neen";"Niet van toepassing";"Maak uw keuze")</t>
  </si>
  <si>
    <t>cel E73</t>
  </si>
  <si>
    <t>cel E74</t>
  </si>
  <si>
    <t>='LUIK 2 - RISICOVRAAG'!D8</t>
  </si>
  <si>
    <t>='LUIK 2 - RISICOVRAAG'!D7</t>
  </si>
  <si>
    <t>cel E7</t>
  </si>
  <si>
    <t>='LUIK 2 - RISICOVRAAG'!D4</t>
  </si>
  <si>
    <t>='LUIK 2 - RISICOVRAAG'!D5</t>
  </si>
  <si>
    <t>cel E6</t>
  </si>
  <si>
    <t>cel D19</t>
  </si>
  <si>
    <t>=IF('LUIK 1 - AANVRAAG'!G$22="neen";"Niet van toepassing";"Maak uw keuze")</t>
  </si>
  <si>
    <t>cel D20</t>
  </si>
  <si>
    <t>cel D21</t>
  </si>
  <si>
    <t>cel D22</t>
  </si>
  <si>
    <t>bezoekers</t>
  </si>
  <si>
    <t>deelnemers</t>
  </si>
  <si>
    <t>mensen ingezet door de organisatie</t>
  </si>
  <si>
    <t>te</t>
  </si>
  <si>
    <t>Type van de manifestatie</t>
  </si>
  <si>
    <t>Duur van de manifestatie in aantal uur</t>
  </si>
  <si>
    <t>verwacht aantal</t>
  </si>
  <si>
    <t>waardeinzet3
waardeluik3.1
waardeluik3.2
waardeluik3.4
waardeluik3.3</t>
  </si>
  <si>
    <t>RUE DERRIERE LES RHIEUX 57</t>
  </si>
  <si>
    <t>BLEGNY</t>
  </si>
  <si>
    <t>Croix Rouge BLEGNY</t>
  </si>
  <si>
    <t>RUE DE BARCHON 62</t>
  </si>
  <si>
    <t>SPEED AMBULANCE</t>
  </si>
  <si>
    <t>ST.-TRUIDEN</t>
  </si>
  <si>
    <t>REGIONAAL Ziekenhuis ST.-TRUDO</t>
  </si>
  <si>
    <t>DIESTERSTEENWEG  100</t>
  </si>
  <si>
    <t>LIMBURG</t>
  </si>
  <si>
    <t>HASSELT</t>
  </si>
  <si>
    <t>AZ VIRGA JESSE</t>
  </si>
  <si>
    <t>STADSOMVAART 11</t>
  </si>
  <si>
    <t>BREE</t>
  </si>
  <si>
    <t>Brandweer BREE</t>
  </si>
  <si>
    <t>BOCHOLTERSTRAAT 15</t>
  </si>
  <si>
    <t>BILZEN</t>
  </si>
  <si>
    <t>AZ VESALIUS CAMPUS ST.-MARTINUS</t>
  </si>
  <si>
    <t>HOSPITAALSTRAAT 15</t>
  </si>
  <si>
    <t>GENK</t>
  </si>
  <si>
    <t>Brandweer GENK</t>
  </si>
  <si>
    <t>C-MINE 50</t>
  </si>
  <si>
    <t>SCHIEPSE BOS 6</t>
  </si>
  <si>
    <t>Brandweer HASSELT</t>
  </si>
  <si>
    <t>WILLEKENSMOLENSTRAAT 120</t>
  </si>
  <si>
    <t>R4 : RISICO-AS 4 : OBJEVCTIVATIE</t>
  </si>
  <si>
    <t>VOORGAANDE REGISTRATIES</t>
  </si>
  <si>
    <t>Anciënniteit van de manifestatie</t>
  </si>
  <si>
    <t>10 jaar of meer</t>
  </si>
  <si>
    <t>4 tot 9 jaar</t>
  </si>
  <si>
    <t>3 jaar of minder</t>
  </si>
  <si>
    <t>Registratie ter beschikking</t>
  </si>
  <si>
    <t>MEDISCHE LITERATUUR</t>
  </si>
  <si>
    <t>Te verwachten problemen vanuit de medische literatuur (+specifieer welke)</t>
  </si>
  <si>
    <t>JA (enkel wanneer dit meegedeeld werd)</t>
  </si>
  <si>
    <t>MULTIDISCIPLINIARE BIJSTURING</t>
  </si>
  <si>
    <t>Aanwezigheid van nutsvoorzieningen</t>
  </si>
  <si>
    <t>Service d'Incendie THUIN</t>
  </si>
  <si>
    <t>ROUTE DE BIESME, 16</t>
  </si>
  <si>
    <t>BAUDOUR</t>
  </si>
  <si>
    <t>Croix Rouge ST-GHISLAIN</t>
  </si>
  <si>
    <t>RUE LOUIS CATY, 136</t>
  </si>
  <si>
    <t>Pit Baudour</t>
  </si>
  <si>
    <t>MONCEAU-SUR-SAMBRE</t>
  </si>
  <si>
    <t xml:space="preserve">AMBULANCE COCCINELLE </t>
  </si>
  <si>
    <t>RUE DE GOUTROUX 81</t>
  </si>
  <si>
    <t>ENGHIEN</t>
  </si>
  <si>
    <t>Service d'Incendie ENGHIEN</t>
  </si>
  <si>
    <t>REMPART ST CHRISTOPHE 37</t>
  </si>
  <si>
    <t>LA LOUVIERE</t>
  </si>
  <si>
    <t>Service d'Incendie LA LOUVIERE</t>
  </si>
  <si>
    <t>BLD ROI BAUDOIN,1</t>
  </si>
  <si>
    <t>CHARLEROI</t>
  </si>
  <si>
    <t>Service d'Incendie CHARLEROI</t>
  </si>
  <si>
    <t>RUE DE L'ANCRE 3</t>
  </si>
  <si>
    <t>JUMET</t>
  </si>
  <si>
    <t>Poste Avancé DE CHARLEROI</t>
  </si>
  <si>
    <t>ZONING INDUSTRIEL 1ERE RUE</t>
  </si>
  <si>
    <t>COMINES</t>
  </si>
  <si>
    <t>waardemed</t>
  </si>
  <si>
    <t>Verwittig de verpleegkundigen van wacht van de manifestatie en de juiste uren van de afsluiting van de perimeter</t>
  </si>
  <si>
    <t>verwachte temperatuur</t>
  </si>
  <si>
    <t>° 7°C - 17°C</t>
  </si>
  <si>
    <t>° 4°C-7°C
° 17°C - 22°C
° Aanwezigheid van airco</t>
  </si>
  <si>
    <t>° 0°C-3°C
°22°C-27°C</t>
  </si>
  <si>
    <t>° &lt; 0°C
° &gt; 27°C</t>
  </si>
  <si>
    <t>UUR</t>
  </si>
  <si>
    <t>Indien de reputatie van de organisator niet gekend is, is het raadzaam om met de verschillende disciplines een bezoek aan de site te brengen voor de manifestaie doorgaat en zo nodig ook tijdens de manifestatie</t>
  </si>
  <si>
    <t>Beste rampenambtenaar, u heeft van ons 2 versies van PRIMA ontvangen : PRIMA_25_RAMP_NL en PRIMA_25_ORG_NL
We hebben gekozen om 2 verschillende versies te maken voor de rampenambtenaar en de organisator omdat we zo op een snelle manier kunnen nagaan wie de analyse heeft ingevuld. We gaan van de veronderstelling uit als deze is ingevuld door een rampenambtenaar de ingave nauwkeuriger zal gebeuren en dat de nacontrole vlotter gaat verlopen.</t>
  </si>
  <si>
    <r>
      <t xml:space="preserve">A. Voor het doorsturen van het bestand naar een organisator : gebruikt u het bestand PRIMA_25_ORG_NL : </t>
    </r>
    <r>
      <rPr>
        <b/>
        <u/>
        <sz val="10"/>
        <rFont val="Arial"/>
        <family val="2"/>
      </rPr>
      <t>moet slechts 1 maal gebeuren</t>
    </r>
  </si>
  <si>
    <r>
      <t xml:space="preserve">Bestand opslaan als :  </t>
    </r>
    <r>
      <rPr>
        <b/>
        <sz val="10"/>
        <rFont val="Arial"/>
        <family val="2"/>
      </rPr>
      <t>PRIMA_25_ORG_NL.</t>
    </r>
    <r>
      <rPr>
        <sz val="10"/>
        <rFont val="Arial"/>
        <family val="2"/>
      </rPr>
      <t xml:space="preserve">  Let hierbij op dat u steeds dit inlichtingenblad op de voorgrond heeft. Zo ziet de organisator dit als eerst en krijgt hij ook enige uitleg.</t>
    </r>
  </si>
  <si>
    <r>
      <t xml:space="preserve">Het ontvangen bestand opslaan als volgt : </t>
    </r>
    <r>
      <rPr>
        <b/>
        <sz val="10"/>
        <rFont val="Arial"/>
        <family val="2"/>
      </rPr>
      <t xml:space="preserve">PRIMA_25_ORG_naam van de manifestatie_datum </t>
    </r>
    <r>
      <rPr>
        <sz val="10"/>
        <rFont val="Arial"/>
        <family val="2"/>
      </rPr>
      <t>vb. PRIMA_25_ORG_Braderij Turnhout_13 10 10</t>
    </r>
  </si>
  <si>
    <t>C. Indien u zelf een risicoinschattingsformulier gaat invullen : gebruik het bestand PRIMA_25_RAMP_NL</t>
  </si>
  <si>
    <r>
      <t>Eénmalig</t>
    </r>
    <r>
      <rPr>
        <sz val="10"/>
        <rFont val="Arial"/>
        <family val="2"/>
      </rPr>
      <t xml:space="preserve"> te doen in het originele bestand :
- Beveiliging databass opheffen
- Beveiliging tabblad "Luik organisator" opheffen
- Uw gegevens invullen (deze komen dan automatisch in luik 1 te staan)
- Het bestand terug opslaan onder de originele naam : </t>
    </r>
    <r>
      <rPr>
        <b/>
        <sz val="10"/>
        <rFont val="Arial"/>
        <family val="2"/>
      </rPr>
      <t>PRIMA_25_RAMP_NL
- Dit bestand altijd bijhouden als naslag</t>
    </r>
    <r>
      <rPr>
        <sz val="10"/>
        <rFont val="Arial"/>
        <family val="2"/>
      </rPr>
      <t>. Op deze manier kan u steeds van deze lege versie beginnen</t>
    </r>
  </si>
  <si>
    <r>
      <t xml:space="preserve">Het bestand opslaan als volgt : </t>
    </r>
    <r>
      <rPr>
        <b/>
        <sz val="10"/>
        <rFont val="Arial"/>
        <family val="2"/>
      </rPr>
      <t xml:space="preserve">PRIMA_25_RAMP_naam van de manifestatie_datum </t>
    </r>
    <r>
      <rPr>
        <sz val="10"/>
        <rFont val="Arial"/>
        <family val="2"/>
      </rPr>
      <t>vb. PRIMA_25_RAMP_Braderij Turnhout_13 10 10</t>
    </r>
  </si>
  <si>
    <t>Service d'Incendie COMINES</t>
  </si>
  <si>
    <t>Brandweer GEEL</t>
  </si>
  <si>
    <t>STELENSEWEG 92</t>
  </si>
  <si>
    <t>Brandweer MOL + PIT</t>
  </si>
  <si>
    <t>AMBACHTSTRAAT 18</t>
  </si>
  <si>
    <t>Brandweer HOOGSTRATEN</t>
  </si>
  <si>
    <t>ST LENAERTSEWEG 38</t>
  </si>
  <si>
    <t>ANTWERPEN 3</t>
  </si>
  <si>
    <t>SIWHA/ Rode Kruis HAVEN</t>
  </si>
  <si>
    <t>MULHOUSENLAAN NOORD 1/3</t>
  </si>
  <si>
    <t>Brandweer BOOM</t>
  </si>
  <si>
    <t>DIJLEWEG 5</t>
  </si>
  <si>
    <t>Brandweer OOSTENDE</t>
  </si>
  <si>
    <t>VELODROOMSTRAAT 13</t>
  </si>
  <si>
    <t>LEDEGEM</t>
  </si>
  <si>
    <t>Brandweer LEDEGEM</t>
  </si>
  <si>
    <t>KLOOSTERSTRAAT 4</t>
  </si>
  <si>
    <t>DEERLIJK</t>
  </si>
  <si>
    <t>Brandweer DEERLIJK</t>
  </si>
  <si>
    <t>HOOGSTRAAT 109 A</t>
  </si>
  <si>
    <t>TIELT</t>
  </si>
  <si>
    <t>Rode Kruis TIELT</t>
  </si>
  <si>
    <t>DRIESSTRAAT 90</t>
  </si>
  <si>
    <t>ROESELARE</t>
  </si>
  <si>
    <t>Brandweer ROESELARE</t>
  </si>
  <si>
    <t>KONING ALBERT 1 LAAN, 4</t>
  </si>
  <si>
    <t>HEUVELLAND</t>
  </si>
  <si>
    <t>BW Nieuwkerke-Heuvelland</t>
  </si>
  <si>
    <t>DRANOUTERSTR.9</t>
  </si>
  <si>
    <t>AVELGEM</t>
  </si>
  <si>
    <t>Rode Kruis AVELGEM</t>
  </si>
  <si>
    <t>TOEKOMSTSTRAAT 46</t>
  </si>
  <si>
    <t>OOSTKAMP</t>
  </si>
  <si>
    <t>Brandweer OOSTKAMP</t>
  </si>
  <si>
    <t>SIEMENSLAAN 8</t>
  </si>
  <si>
    <t>Brandweer RUDDERVOORDE</t>
  </si>
  <si>
    <t>TORHOUT</t>
  </si>
  <si>
    <t>Brandweer TORHOUT</t>
  </si>
  <si>
    <t>AARTRIJKSESTRAAT 13</t>
  </si>
  <si>
    <t>MENEN</t>
  </si>
  <si>
    <t>Brandweer MENEN</t>
  </si>
  <si>
    <t>LEOPOLDSPLEIN 12</t>
  </si>
  <si>
    <t>KNOKKE-HEIST</t>
  </si>
  <si>
    <t>Brandweer KNOKKE-HEIST</t>
  </si>
  <si>
    <t>BrandweerSTRAAT 7</t>
  </si>
  <si>
    <t>WERVIK</t>
  </si>
  <si>
    <t>Brandweer WERVIK</t>
  </si>
  <si>
    <t>GASSTRAAT 2</t>
  </si>
  <si>
    <t>DE PANNE</t>
  </si>
  <si>
    <t>Brandweer DE PANNE</t>
  </si>
  <si>
    <t>LOOSKAAI 14</t>
  </si>
  <si>
    <t>de cel D32 = kontrole via luik 5 : kontrole op BLS en andere hulpverleners</t>
  </si>
  <si>
    <t>BLS of andere inzet</t>
  </si>
  <si>
    <t>andere hulpverleners</t>
  </si>
  <si>
    <t>Een goed afvalbeheer tijdens de manifestatie zorgt ervoor dat problemen met het opkuisen na de manifestatie vermeden worden.  Ga na of de manifestatiegangers de vuilbakken kunnen vinden (duidelijk logo bij de vuilbakken)</t>
  </si>
  <si>
    <t>aangepaste cellen na rondsturen</t>
  </si>
  <si>
    <t>Ga na of het ophalen van afval geregeld is tijdens de manifestatie (ook in het weekeinde).  Indien dit niet mogelijk is, moet er een plaats voorzien worden waar het afval kan opgestapeld worden zonder de manifestatie te hinderen</t>
  </si>
  <si>
    <t>Is de koudeketen in orde bij eetkramen. Wanneer deze niet in orde is, kan dit leiden tot een voedselintoxicatie bij manifestatiegangers.  De wijze waarop dit gebeurt moet mogelijk ook met de brandweer besproken worden !</t>
  </si>
  <si>
    <t>Buitenlanders zorgen mogelijk voor taalproblemen.</t>
  </si>
  <si>
    <t>Aanwezigheid van vuurwerk</t>
  </si>
  <si>
    <t>Aanwezigheid van wapens</t>
  </si>
  <si>
    <t>Vuurwerk kan zorgen voor brandwonden</t>
  </si>
  <si>
    <t>Wapens kunnen zorgen voor schot- en/of steekwonden</t>
  </si>
  <si>
    <t>AVENUE DE HOUFFALIZE 35</t>
  </si>
  <si>
    <t>6900</t>
  </si>
  <si>
    <t>MARCHE-EN-FAMENNE</t>
  </si>
  <si>
    <t>INTERCOM. HOSP. FAMENNE ARDENNE CONDROZ</t>
  </si>
  <si>
    <t>RUE DU VIVIER 21</t>
  </si>
  <si>
    <t>7000</t>
  </si>
  <si>
    <t>MONS</t>
  </si>
  <si>
    <t>CENTRE HOSPITALIER UNIVERSITAIRE A. PARE</t>
  </si>
  <si>
    <t>BOULEVARD KENNEDY 2</t>
  </si>
  <si>
    <t>C.H.R. CLIN. ST.-JOSEPH - HÔPITAL DE WARQUIGNIES</t>
  </si>
  <si>
    <t>AV. B. DE CONSTANTINOPLE 5</t>
  </si>
  <si>
    <t>7060</t>
  </si>
  <si>
    <t>CENTRE HOSPITALIER REGIONAL DE LA HAUTE SENNE</t>
  </si>
  <si>
    <t>CHAUSSEE DE BRAINE 49</t>
  </si>
  <si>
    <t>7100</t>
  </si>
  <si>
    <t>HAINE-SAINT-PAUL</t>
  </si>
  <si>
    <t>CENTRE HOSPITALIER JOLIMONT - LOBBES</t>
  </si>
  <si>
    <t>RUE FERRER 159</t>
  </si>
  <si>
    <t>LA-LOUVIERE</t>
  </si>
  <si>
    <t>CENTRE HOSPITALIER UNIVERSITAIRE TIVOLI</t>
  </si>
  <si>
    <t>AVENUE MAX BUSET 34</t>
  </si>
  <si>
    <t>7301</t>
  </si>
  <si>
    <t>HORNU</t>
  </si>
  <si>
    <t>CENTRE HOSPITALIER HORNU - FRAMERIES</t>
  </si>
  <si>
    <t>ROUTE DE MONS 63</t>
  </si>
  <si>
    <t>7331</t>
  </si>
  <si>
    <t>RHMS - CLINIQUE LOUIS CATY</t>
  </si>
  <si>
    <t>RUE LOUIS CATY 136</t>
  </si>
  <si>
    <t>7500</t>
  </si>
  <si>
    <t>CENTRE HOSPITALIER DE WALLONIE PICARDE - Chwapi</t>
  </si>
  <si>
    <t>AVENUE DELMEE 9</t>
  </si>
  <si>
    <t>BOULEVARD LALAING 39</t>
  </si>
  <si>
    <t>CHAUSSEE ST.-AMAND 80</t>
  </si>
  <si>
    <t>7700</t>
  </si>
  <si>
    <t>CENTRE HOSPITALIER DE MOUSCRON</t>
  </si>
  <si>
    <t>RUE DU COUVENT 39</t>
  </si>
  <si>
    <t>7800</t>
  </si>
  <si>
    <t>RHMS - HOPITAL DE LA MADELEINE</t>
  </si>
  <si>
    <t>RUE MARIA THOMEE 1</t>
  </si>
  <si>
    <t>POST-NUMMER</t>
  </si>
  <si>
    <t xml:space="preserve">ALGEMEEN ZIEKENHUIS ST. LUCAS </t>
  </si>
  <si>
    <t>ONZE LIEVE VROUWZIEKENHUIS</t>
  </si>
  <si>
    <t>A. Z. ZUSTERS VAN BARMHARTIGHEID</t>
  </si>
  <si>
    <t>ALGEMEEN ZIEKENHUIS ST.-ELISABETH</t>
  </si>
  <si>
    <t xml:space="preserve">ALGEMEEN ZIEKENHUIS ST.-JAN </t>
  </si>
  <si>
    <t>8370</t>
  </si>
  <si>
    <t>DR. VERHAEGHESTRAAT 1</t>
  </si>
  <si>
    <t>HENRY SERRUYSZIEKENHUIS A.V.</t>
  </si>
  <si>
    <t>KAIROSTRAAT 84</t>
  </si>
  <si>
    <t>NIEUWPOORTSTEENWEG 57</t>
  </si>
  <si>
    <t>LOOFSTRAAT 43</t>
  </si>
  <si>
    <t>H.- HARTZIEKENHUIS ROESELARE - MENEN</t>
  </si>
  <si>
    <t>ST.-REMBERTZIEKENHUIS V.Z.W.</t>
  </si>
  <si>
    <t>Service d'Incendie SOIGNIES</t>
  </si>
  <si>
    <t>RUE DE LA SENNE 72</t>
  </si>
  <si>
    <t>BUVRINNES</t>
  </si>
  <si>
    <t>AMBULANCES LAUTE</t>
  </si>
  <si>
    <t>RUE DE MERBES, 220</t>
  </si>
  <si>
    <t>BÜLLINGEN</t>
  </si>
  <si>
    <t>Croix Rouge BUTGENBACH</t>
  </si>
  <si>
    <t>MALMYERSTRASSE 5</t>
  </si>
  <si>
    <t>LIEGE</t>
  </si>
  <si>
    <t>SOUMAGNE</t>
  </si>
  <si>
    <t>AMBULANCES MOREAU</t>
  </si>
  <si>
    <t>AV. DE LA RESISTANCE 405</t>
  </si>
  <si>
    <t>AYWAILLE</t>
  </si>
  <si>
    <t>Service d'Incendie AYWAILLE</t>
  </si>
  <si>
    <t>PLAYE, 50</t>
  </si>
  <si>
    <t>Opmerkingen verzorgingen door rampen</t>
  </si>
  <si>
    <t>Maximale duur dat deze populatie ter plaatse reëel aanwezig is in uren</t>
  </si>
  <si>
    <t>Te verwachten problemen vanuit de medische literatuur (+ specifieer welke)</t>
  </si>
  <si>
    <t>TERREINVARIABELEN</t>
  </si>
  <si>
    <t>Uitgestrektheid</t>
  </si>
  <si>
    <t>2,5 ha - 1 km²</t>
  </si>
  <si>
    <t>&gt; 1 km² (geef een schatting van de oppervlakte in km²)</t>
  </si>
  <si>
    <t>Ondergrond</t>
  </si>
  <si>
    <t xml:space="preserve">Hard </t>
  </si>
  <si>
    <t>Zacht en vlak</t>
  </si>
  <si>
    <t>Zacht en golvend</t>
  </si>
  <si>
    <t>Structuur</t>
  </si>
  <si>
    <t>Vaste structuur</t>
  </si>
  <si>
    <t>Tijdelijke structuur</t>
  </si>
  <si>
    <t>Oneigenlijk gebruik van structuur</t>
  </si>
  <si>
    <t>Trappen aanwezig</t>
  </si>
  <si>
    <t>Ja</t>
  </si>
  <si>
    <t>Zitplaatsen</t>
  </si>
  <si>
    <t>Plaats van gebeuren</t>
  </si>
  <si>
    <t>Buiten</t>
  </si>
  <si>
    <t>Binnen</t>
  </si>
  <si>
    <t>ISOLATIE VOOR WEGRIJDENDE MIDDELEN</t>
  </si>
  <si>
    <t>Afstand tot dichtsbijzijnde spoedgevallendienst</t>
  </si>
  <si>
    <t>10-20 min</t>
  </si>
  <si>
    <t>&gt; 20 min</t>
  </si>
  <si>
    <t>ISOLATIE VOOR OMWONENDEN</t>
  </si>
  <si>
    <t>Isolatieperimeter omvat omwonenden</t>
  </si>
  <si>
    <t>RVT/ziekenhuis of instelling binnen perimeter</t>
  </si>
  <si>
    <t>Vraag na dat de hulpdiensten met de communicatie-apparatuur kunnen werken zo er specifieke apparatuur ter beschikking gesteld wordt.</t>
  </si>
  <si>
    <t>De manifestatie moet aangepast zijn aan de aanwezigheid van grote dieren.</t>
  </si>
  <si>
    <t>Wanneer een manifestatie uitverkocht is, is er minder bewegingsmogelijkheid op het terrein.  Tegelijk zorgt dit ervoor dat er een aantal mensen buiten het terrein trachten binnen te geraken.  Hulpdiensten hebben hierdoor meer werk (ze worden ook geroepen voor (medische) problemen buiten de manifestatie, dus aan de rand van de perimeter</t>
  </si>
  <si>
    <t xml:space="preserve">SPECIFIEKE MULTIDISCIPLINAIRE AANDACHTSPUNTEN </t>
  </si>
  <si>
    <t>Organiseer een overkoepelende coördinatievergadering en/of zorg ervoor dat elk van de manifestaties de eventuele CP-OPS van de andere manifestatie kan bereiken</t>
  </si>
  <si>
    <t xml:space="preserve">3. ADMINISTRATIEVE GEGEVENS </t>
  </si>
  <si>
    <t>3.1. Organisator</t>
  </si>
  <si>
    <t>Naam en Voornaam</t>
  </si>
  <si>
    <t>Organisatie</t>
  </si>
  <si>
    <t>3.2. Verantwoordelijke voor de medische voorzieningen</t>
  </si>
  <si>
    <t>3.3. Verzekering</t>
  </si>
  <si>
    <t>- controle op invullen luik 1
- controle op invullen luik 2</t>
  </si>
  <si>
    <t>printen medische antenne NEEN = OK</t>
  </si>
  <si>
    <t>printen geen VPK … = OK</t>
  </si>
  <si>
    <t>- nood medische antenne = NEEN (0) ==&gt; printen (geen advies FOD)
- nood medische antenne = JA (1) ==&gt; luik 3
+ controle op invullen luik 1
+ contorle op invullen luik 2
+ contorle op invullen luik 4</t>
  </si>
  <si>
    <t>- vermoedelijke inzet = 0 ==&gt; printen (geen advies FOD)
- vermoedelijke inzet &lt;&gt; 0 ==&gt; mailen (advies van FOD)
+ controle op invullen luik 1
+ contorle op invullen luik 2
+ contorle op invullen luik 4
+ contorle op invullen luik 3</t>
  </si>
  <si>
    <t>controle invullen luik 1</t>
  </si>
  <si>
    <t>controle invullen luik 2</t>
  </si>
  <si>
    <t>luik</t>
  </si>
  <si>
    <t>waarde</t>
  </si>
  <si>
    <t>waardeluik2</t>
  </si>
  <si>
    <t>1 (F4)
3 (F6)</t>
  </si>
  <si>
    <t>2 (F5)
1 (F4)
3 (F6)
5 (F8)</t>
  </si>
  <si>
    <t>6 (F13)
1 (F4)
3 (F6)
5 (F8)
4 (F7)</t>
  </si>
  <si>
    <t>benoeming waarde</t>
  </si>
  <si>
    <t>waardeluik 1</t>
  </si>
  <si>
    <t>NEEN</t>
  </si>
  <si>
    <t>2.</t>
  </si>
  <si>
    <t>3.</t>
  </si>
  <si>
    <t>DE POPULATIE WIJKT AF VAN DE STANDAARDPOPULATIE ZODAT ER EEN VERHOOGD RISICO OP VERZORGING/ZIEKTE IS TIJDENS DE MANIFESTATIE</t>
  </si>
  <si>
    <t>4.</t>
  </si>
  <si>
    <t>ER IS EEN RISICO VOLGENS DE BRANDWEER</t>
  </si>
  <si>
    <t>5.</t>
  </si>
  <si>
    <t>ER IS EEN RISICO VOLGENS DE POLITIE</t>
  </si>
  <si>
    <t>LUIK 2 : MINIMALE ESSENTIËLE BEVRAGING
INSCHATTING VAN DE NOODZAAK AAN EEN MEDISCH DISPOSITIEF</t>
  </si>
  <si>
    <t>KLASSE</t>
  </si>
  <si>
    <t>NR</t>
  </si>
  <si>
    <t>AANDACHTSPUNTEN OP DE MANIFESTATIE</t>
  </si>
  <si>
    <t>Aandacht bij preventie voor meebrengen van zonnecrème en zonnebril</t>
  </si>
  <si>
    <t>JA</t>
  </si>
  <si>
    <t>Bijsturing van negatief gedrag van manifestatiegangers is mogelijk</t>
  </si>
  <si>
    <t>Gratis drinkwaterbedeling voorzien vanaf 27°C</t>
  </si>
  <si>
    <t>Voldoende mobiele toiletten aanwezig</t>
  </si>
  <si>
    <t>Contrôle van hygiëne van mobiele toiletten geregeld</t>
  </si>
  <si>
    <t>Apart logo voor afvalbeheer</t>
  </si>
  <si>
    <t>Gescheiden afvalophaling bij organisatie</t>
  </si>
  <si>
    <t>Gescheiden afvalophaling op ruimtes voor het grote publiek</t>
  </si>
  <si>
    <t>Ga via het OCMW na of de dienst(en) die instaan voor maaltijdbezorging op de hoogte zijn van de manifestatie en zo nodig weten langs waar ze de perimeter moeten passeren</t>
  </si>
  <si>
    <t>IF((INTERPRETATIE!G11+(2*'LUIK3 + SCORE'!I18)+10)/60*(RESULTATEN!E14+RESULTATEN!E15)&gt;RESULTATEN!F2*0,8;RESULTATEN!E12+1;IF(INTERPRETATIE!G63&gt;1;INTERPRETATIE!G43;IF(INTERPRETATIE!G63&gt;0,5;1;IF(INTERPRETATIE!G11&gt;CIJFERS!E4;1;0))))</t>
  </si>
  <si>
    <t>Leeftijd</t>
  </si>
  <si>
    <t>Publiek</t>
  </si>
  <si>
    <t>Basis pathologie</t>
  </si>
  <si>
    <t>Alcohol</t>
  </si>
  <si>
    <t>drugs</t>
  </si>
  <si>
    <t>Duur</t>
  </si>
  <si>
    <t>Temperatuur</t>
  </si>
  <si>
    <t>&lt; 5 uur = 0</t>
  </si>
  <si>
    <t>5-12 uur = 1</t>
  </si>
  <si>
    <t>12-24 uur = 2</t>
  </si>
  <si>
    <t>&gt; 24 uur = 3</t>
  </si>
  <si>
    <t>voeding</t>
  </si>
  <si>
    <t xml:space="preserve">Maak uw keuze = 0 </t>
  </si>
  <si>
    <t>Nutsvoorziening</t>
  </si>
  <si>
    <t>Communicatie</t>
  </si>
  <si>
    <t>Maak uw keuze</t>
  </si>
  <si>
    <t>A = 4</t>
  </si>
  <si>
    <t>B = 8</t>
  </si>
  <si>
    <t>C = 12</t>
  </si>
  <si>
    <t>E = 20</t>
  </si>
  <si>
    <t>D = 16</t>
  </si>
  <si>
    <t>Ruime standaardvoorzieningen</t>
  </si>
  <si>
    <t>Beperkte standaardvoorzieningen</t>
  </si>
  <si>
    <t>Specifiek geplaatst voor dit evenement</t>
  </si>
  <si>
    <t>Communicatiemiddelen</t>
  </si>
  <si>
    <t>Ruim voorzien (interne en externe communicatie) via vaste structuur</t>
  </si>
  <si>
    <t>Aparte communicatiestructuur voor dit evenement</t>
  </si>
  <si>
    <t>Aanwezigheid van grote dieren</t>
  </si>
  <si>
    <t>Internationale uitstraling (&gt; 9 % buitenlanders verwacht)</t>
  </si>
  <si>
    <t>Aanwezigheid van CP-OPS gedurende ganse duur van evenement</t>
  </si>
  <si>
    <t>JA en bemand</t>
  </si>
  <si>
    <t>JA en partieel bemand</t>
  </si>
  <si>
    <t>Probleem volgens politie</t>
  </si>
  <si>
    <t>Probleem volgens de brandweer</t>
  </si>
  <si>
    <t>Voorgaande negatieve ervaring met dit type van manifestatie</t>
  </si>
  <si>
    <t>NEEN of niet gekend</t>
  </si>
  <si>
    <t>Voorgaande negatieve ervaring met de organisator</t>
  </si>
  <si>
    <t>Specifieke wetgeving betreffende dit type van evenement</t>
  </si>
  <si>
    <t>R5 : RISICO-AS 5 : PREPAREDNESS</t>
  </si>
  <si>
    <t>Zijn er adequate plannen van het terrein</t>
  </si>
  <si>
    <t>Zijn er adequate plannen van de totale isolatieregio</t>
  </si>
  <si>
    <t>Beantwoordt het plan aan het MIP</t>
  </si>
  <si>
    <t>Is er een Dir-Med aangeduid voor de manifestatie</t>
  </si>
  <si>
    <t>JA OF NIET NODIG</t>
  </si>
  <si>
    <t>Is er een sluitend communicatieschema in geval van een collectief probleem</t>
  </si>
  <si>
    <t>Is de link met de 100-centrale geregeld</t>
  </si>
  <si>
    <t>Beantwoordt het plan aan het KB van 16/02/06</t>
  </si>
  <si>
    <t xml:space="preserve">PREPAREDNESS </t>
  </si>
  <si>
    <t>LUIK 3 : EIGENLIJKE RISICO-ANALYSE VOLGENS GESELECTEERDE VRAAGSTELLING
VRAAGSTELLING ZONDER SCORE</t>
  </si>
  <si>
    <t>VRAAGSTELLING EN ANTWOORD</t>
  </si>
  <si>
    <t>RESULTAAT</t>
  </si>
  <si>
    <t>Vertraging door slechte bereikbaarheid (1)</t>
  </si>
  <si>
    <t>Aantal perimeters (1 minuut vertraging per perimeter) : vul het aantal in</t>
  </si>
  <si>
    <t>Tijd die nodig is om onder standaardomstandigheden de manifestatie te bereiken (in minuten en in decimalen)</t>
  </si>
  <si>
    <t>Exacte oppervlakte (km²)</t>
  </si>
  <si>
    <t>R1 : RISICO-AS 1 : ISOLATIERISICO</t>
  </si>
  <si>
    <t>OUDE VEST 150</t>
  </si>
  <si>
    <t>Brandweer TEMSE</t>
  </si>
  <si>
    <t>UZ GENT</t>
  </si>
  <si>
    <t>DE PINTELAAN 185</t>
  </si>
  <si>
    <t>EEKLO</t>
  </si>
  <si>
    <t>Brandweer EEKLO</t>
  </si>
  <si>
    <t>GENTSESTEENWEG 2</t>
  </si>
  <si>
    <t>MERELBEKE</t>
  </si>
  <si>
    <t>RUE DE LA PROCESSION 47</t>
  </si>
  <si>
    <t>TOURNAI</t>
  </si>
  <si>
    <t>Service d'Incendie TOURNAI</t>
  </si>
  <si>
    <t>Avenue du Maire, 89</t>
  </si>
  <si>
    <t>BELOEIL</t>
  </si>
  <si>
    <t>Service d'Incendie BELOEIL</t>
  </si>
  <si>
    <t>Het is raadzaam met de medische diensten een systeem af te spreken waarbij er labeling en stockage mogelijk is van chronische medicatie, zeker wanneer deze koel moet bewaard worden</t>
  </si>
  <si>
    <t>Zijn er adequate plannen van het terrein ter beschikking voor de hulpdiensten</t>
  </si>
  <si>
    <t>Zijn er adequate plannen van de totale isolatieregio ter beschikking van de hulpdiensten</t>
  </si>
  <si>
    <t>LUIK 4 A : ANDERE GEZONDHEIDSEFFECTEN OP KORTE TERMIJN 
ANDERE DAN DE EFFECTEN VAN DE (DRINGENDE) GENEESKUNIDGE HULPVERLENING</t>
  </si>
  <si>
    <r>
      <t xml:space="preserve">Evenuele andere </t>
    </r>
    <r>
      <rPr>
        <b/>
        <u/>
        <sz val="10"/>
        <color indexed="8"/>
        <rFont val="Arial"/>
        <family val="2"/>
      </rPr>
      <t>VERANTWOORDELIJKEN</t>
    </r>
    <r>
      <rPr>
        <sz val="10"/>
        <color indexed="8"/>
        <rFont val="Arial"/>
        <family val="2"/>
      </rPr>
      <t xml:space="preserve"> van wie de contactgegevens doorgegeven worden</t>
    </r>
  </si>
  <si>
    <t>GSM-nummer</t>
  </si>
  <si>
    <t>Functie tijdens de manifestatie</t>
  </si>
  <si>
    <t>Opbouw en afbraak van de manifestatie</t>
  </si>
  <si>
    <t>Begindatum van de start van de opbouw van de manifestatie</t>
  </si>
  <si>
    <t>Buitenlanders zorgen mogelijk voor taalproblemen.  Kunnen deze voldoende opgevangen worden</t>
  </si>
  <si>
    <t>Zijn tenten toegankelijk voor publiek</t>
  </si>
  <si>
    <t>Aantal tenten met een oppervlakte van meer dan 50 m²</t>
  </si>
  <si>
    <t>Zijn er NADAR- of HERAS-afsluitingen</t>
  </si>
  <si>
    <t>KEHRWEG 9D</t>
  </si>
  <si>
    <t>WAREMME</t>
  </si>
  <si>
    <t>Service d'Incendie WAREMME</t>
  </si>
  <si>
    <t>RUE ERNEST MALVOZ 30</t>
  </si>
  <si>
    <t>Aantal bezoekers dat naar de manifestatie kwam</t>
  </si>
  <si>
    <t>Werd bij verkoop van het ticket de raad gegeven aan manifestatiegangers met chronische aandoeningen een medische fiche mee te brengen die ze hetzij op zak houden, hetzij afgeven in de hulppost, zodat bij medische problemen aangepaste hulp geboden kan worden</t>
  </si>
  <si>
    <t>Wordt bij verkoop van het ticket een flyer met informatie over hulpverlening en/of preventie gegeven waar ook het medisch luik in betrokken is</t>
  </si>
  <si>
    <t>Heeft de drinkwatervoorziening op de camping(s) een voldoende groot debiet om de massale vraag aan te kunnen voor de ganse periode van de manifestatie</t>
  </si>
  <si>
    <t>Als er geen medische inzet is ==&gt; Luik2!E10 = NEEN</t>
  </si>
  <si>
    <t>resultaat</t>
  </si>
  <si>
    <t>Controles</t>
  </si>
  <si>
    <t>Luik 2 = ingevuld ==&gt; D23 = 0</t>
  </si>
  <si>
    <t>Luik 4 = ingevuld ==&gt; D27 = 0</t>
  </si>
  <si>
    <t>IS ER NOOD AAN EEN MEDISCHE ANTENNE</t>
  </si>
  <si>
    <t>Datum</t>
  </si>
  <si>
    <t>T1</t>
  </si>
  <si>
    <t>T2</t>
  </si>
  <si>
    <t>Ga het aantal te plaatsen toiletten na via de bijgeleverde tabellen.  Vergeet niet van het aantal vaste toiletten van het totaal af te trekken!</t>
  </si>
  <si>
    <t>CLINIQUE ET MATERNITE STE.-ELISABETH</t>
  </si>
  <si>
    <t>PLACE LOUISE GODIN 15</t>
  </si>
  <si>
    <t>5004</t>
  </si>
  <si>
    <t>BOUGE</t>
  </si>
  <si>
    <t>CLINIQUE ST.-LUC</t>
  </si>
  <si>
    <t>RUE SAINT LUC 8</t>
  </si>
  <si>
    <t>5060</t>
  </si>
  <si>
    <t>AUVELAIS</t>
  </si>
  <si>
    <t>C.H. REGIONAL DU VAL DE SAMBRE</t>
  </si>
  <si>
    <t>RUE CHERE VOIE 75</t>
  </si>
  <si>
    <t>5500</t>
  </si>
  <si>
    <t>CENTRE HOSPITALIER DE DINANT</t>
  </si>
  <si>
    <t>RUE ST.-JACQUES 501</t>
  </si>
  <si>
    <t>5530</t>
  </si>
  <si>
    <t>MONT-GODINNE</t>
  </si>
  <si>
    <t>CLINIQUES UNIVERSITAIRES U.C.L. DE MONT-GODINNE</t>
  </si>
  <si>
    <t>AVENUE DR. G. THERASSE 1</t>
  </si>
  <si>
    <t>6000</t>
  </si>
  <si>
    <t>GRAND HOPITAL DE CHARLEROI</t>
  </si>
  <si>
    <t>GRAND'RUE 3</t>
  </si>
  <si>
    <t>Henegouwen</t>
  </si>
  <si>
    <t>CENTRE HOSPITALIER UNIV. DE CHARLEROI</t>
  </si>
  <si>
    <t>BOULEVARD PAUL JANSON 92</t>
  </si>
  <si>
    <t>6041</t>
  </si>
  <si>
    <t>CLINIQUE NOTRE-DAME DE GRACE</t>
  </si>
  <si>
    <t>CHAUSSEE DE NIVELLES 212</t>
  </si>
  <si>
    <t>6060</t>
  </si>
  <si>
    <t>RUE DE LA DUCHERE 6</t>
  </si>
  <si>
    <t>6110</t>
  </si>
  <si>
    <t>MONTIGNY-LE-TILLEUL</t>
  </si>
  <si>
    <t>CENTRE HOSPITALIER UNIVERSITAIRE A. VESALE</t>
  </si>
  <si>
    <t>RUE DE GOZEE 706</t>
  </si>
  <si>
    <t>6460</t>
  </si>
  <si>
    <t>CENTRE DE SANTE DES FAGNES</t>
  </si>
  <si>
    <t>BOULEVARD LOUISE 18</t>
  </si>
  <si>
    <t>6700</t>
  </si>
  <si>
    <t>CLINIQUES DU SUD-Luxembourg</t>
  </si>
  <si>
    <t>RUE DES DEPORTES 137</t>
  </si>
  <si>
    <t>Luxemburg</t>
  </si>
  <si>
    <t>6800</t>
  </si>
  <si>
    <t>CENTRE HOSPITALIER DE L'ARDENNE</t>
  </si>
  <si>
    <t>De gebruikers van excel 2007 :</t>
  </si>
  <si>
    <r>
      <t xml:space="preserve">2. om de ingevulde versie op te slaan :
</t>
    </r>
    <r>
      <rPr>
        <sz val="14"/>
        <color indexed="13"/>
        <rFont val="Arial"/>
        <family val="2"/>
      </rPr>
      <t>De gebruikers van excel 2007 moeten het ingevulde bestand opslaan onder een versie 2003.
- kiezen voor opslaan als door 1x op het icoontje (zie afbeelding) te klikken
- kiezen voor eerdere versie/ 2003.</t>
    </r>
  </si>
  <si>
    <r>
      <t>1. om de knoppen te aktiveren :</t>
    </r>
    <r>
      <rPr>
        <b/>
        <sz val="16"/>
        <color indexed="13"/>
        <rFont val="Arial"/>
        <family val="2"/>
      </rPr>
      <t xml:space="preserve">
</t>
    </r>
    <r>
      <rPr>
        <sz val="14"/>
        <color indexed="13"/>
        <rFont val="Arial"/>
        <family val="2"/>
      </rPr>
      <t>- Klik op de knop : opties
- selecteer "Deze inhoud inschakelen" en vervolgens op OK</t>
    </r>
  </si>
  <si>
    <t>Indien er meerdere rolstoelgebruikers zijn moeten de toegang tot de manifestatie en de voorzieningen hieraan aangepast worden.</t>
  </si>
  <si>
    <t>Overweeg sterk een aanduiding van een lokaal voor het verzamelen van verloren kinderen. Zorg voor een sluitend opvolgsysteem.</t>
  </si>
  <si>
    <t>Vraag na bij de kennissen welke drugs er werden gebruikt.</t>
  </si>
  <si>
    <t>Is er gedacht aan de mogelijkheid van verloren gelopen kinderen. Is er een opvang voorzien voor deze verloren gelopen kinderen. Men kan aanraden het GSM-nummer/contactgegevens van de ouders of begeleiders op de pols van het kind te noteren of een bandje rond de pols te doen.</t>
  </si>
  <si>
    <t>Mag ik u vragen erop toe te zien dat de volgende documenten ingevuld worden teruggestuurd :</t>
  </si>
  <si>
    <t>JAN YPERMAN ZIEKENHUIS Vzw</t>
  </si>
  <si>
    <t>8930</t>
  </si>
  <si>
    <t>RIJSELSTRAAT 71-73</t>
  </si>
  <si>
    <t>A.Z. SALVATOR - ST. URSULA</t>
  </si>
  <si>
    <t xml:space="preserve">ZIEKENHUIS MAAS EN KEMPEN </t>
  </si>
  <si>
    <t>Is er een mogelijkheid van stockage en labeling van chronische medicatie die personen met een chronische aandening bij de hulppost binnenbrengen</t>
  </si>
  <si>
    <t>TOTALE IN REKENING TE BRENGEN TIJD (AMBULANCE-AANRIJTIJD)</t>
  </si>
  <si>
    <t>TOTALE IN REKENING TE BRENGEN TIJD (MUG-AANRIJTIJD)</t>
  </si>
  <si>
    <t>Plannen van het terrein</t>
  </si>
  <si>
    <t>Aanwezig</t>
  </si>
  <si>
    <t>Bestaan niet</t>
  </si>
  <si>
    <t>Wanneer problemen i.v.m. de veiligheid verwacht worden, moet dit voorgelegd worden aan de politie.</t>
  </si>
  <si>
    <t>Vergeet niet dat er voor een tijdelijke structuur een brandweercontrole van deze structuur moet gebeuren.</t>
  </si>
  <si>
    <t>luik 3 ==&gt; einde</t>
  </si>
  <si>
    <t xml:space="preserve">Zijn er voldoende toiletten voorzien voor de camping (vaste en indien nodig mobiele toiletten).  </t>
  </si>
  <si>
    <t xml:space="preserve">Zijn er voldoende douches voorzien voor de camping </t>
  </si>
  <si>
    <t xml:space="preserve">° Rockconcert
° Evenement met Techno/house en aanverwante muziekvormen
</t>
  </si>
  <si>
    <t>VRAAGSTELLING</t>
  </si>
  <si>
    <t>ANTWOORD</t>
  </si>
  <si>
    <t xml:space="preserve">1. </t>
  </si>
  <si>
    <t>OPMERKING : MOET EEN APARTE VOORZIENING GETROFFEN WORDEN VOOR AMATEURSPORTERS BIJ MASSA-SPORTMANIFESTATIES (Nguyen et al Prehosp Dis Med 2008; 23:519-25)</t>
  </si>
  <si>
    <t>6.</t>
  </si>
  <si>
    <t>7.</t>
  </si>
  <si>
    <t>8.</t>
  </si>
  <si>
    <t>Extra ==&gt; beveiliging ==&gt; werkmap beveiligen</t>
  </si>
  <si>
    <t>Extra ==&gt; beveiliging ==&gt; blad beveiligen</t>
  </si>
  <si>
    <t>opmaak ==&gt; kolom ==&gt; verbergen</t>
  </si>
  <si>
    <t>opmaak ==&gt; rij ==&gt; verbergen</t>
  </si>
  <si>
    <t>opmaak ==&gt; blad ==&gt; verbergen</t>
  </si>
  <si>
    <t>Luik 4 cel D16 tot D19</t>
  </si>
  <si>
    <t>ALS('LUIK 1 - AANVRAAG'!G$20="neen";"Niet van toepassing";"Maak uw keuze")</t>
  </si>
  <si>
    <t>De volgende cellen werken met verwijzingen maar zullen slechts 1 x werken !!!
Indien de formule is verwijderd kan men onderstaande terug plaatsen</t>
  </si>
  <si>
    <t>Luik 3  cel E21 tot E25</t>
  </si>
  <si>
    <t>ALS($E$20="neen";"Niet van toepassing";"Maak uw keuze")</t>
  </si>
  <si>
    <t>Is er een camping voorzien</t>
  </si>
  <si>
    <t>Eventueel een kleurcode toepasen als een veld is ingevuld zoals bij de melding van agressie ???</t>
  </si>
  <si>
    <t>Vragen</t>
  </si>
  <si>
    <t>omwonende</t>
  </si>
  <si>
    <t>Ga na of het mogelijk is afval te scheiden (PMD, restafval, …)</t>
  </si>
  <si>
    <t>Ga na of het mogelijk is afval te scheiden (PMD, resafval, …)</t>
  </si>
  <si>
    <t>Het is raadzaam om een bezoeker met een chronische aandoening er op te wijzen dat hij/zij een medische fiche op zak kan hebben, samen met zijn medicatie. Deze fiche kan desgewenst afgegeven worden aan de medische hulpverlening ter plaatse.</t>
  </si>
  <si>
    <t>Het is raadzaam bij de verkoop van het ticket een flyer te verstrekken met informatie over preventie en het al dan niet aanwezig zijn van medische hulpverlening.</t>
  </si>
  <si>
    <t>Zijn er nog maatregelen nodig op vlak van disaster-preparedness</t>
  </si>
  <si>
    <t>Ook op parkings kunnen zich problemen voordoen.  Is er een mogelijkheid dat de parkingwachters (zo deze er zijn) met de CP-OPS in verbinding kunnen komen bij problemen waarvoor hulp noodzakelijk is.</t>
  </si>
  <si>
    <t>Algemene inlichtingen</t>
  </si>
  <si>
    <t>Vooraleer u kan starten met deze bestanden moet u nagaan hoe de beveiliging tegen macro's ingesteld Is. Deze beveiliging moet op gemiddeld staan wil men kunnen werken met de nodige knoppen.
Onderneem daarvoor de volgende stappen :</t>
  </si>
  <si>
    <t>- Open het programma : excel
- Kies vervolgens : Extra ==&gt; macro's ==&gt; beveiliging
- Kies het tabblad "beveiligingsniveau"
- Selecteer hier de optie "gemiddeld" 
- Open het gewenste bestand 
- Kies voor de optie : "Macro's inschakelen"</t>
  </si>
  <si>
    <t>Begin steeds met het invullen van LUIK 1 en ga dan verder met behulp van de knoppen "Verder"</t>
  </si>
  <si>
    <t>Tabblad "Luik organisator" beveiligen met het paswoord</t>
  </si>
  <si>
    <t>ZELZATE</t>
  </si>
  <si>
    <t>Brandweer ZELZATE</t>
  </si>
  <si>
    <t>CHALMETLAAN 56</t>
  </si>
  <si>
    <t>RONSE</t>
  </si>
  <si>
    <t>ZVB RONSE</t>
  </si>
  <si>
    <t>GLORIEUXLAAN, 55</t>
  </si>
  <si>
    <t>MELLE</t>
  </si>
  <si>
    <t>Brandweer MELLE</t>
  </si>
  <si>
    <t>WEZENSTRAAT 44</t>
  </si>
  <si>
    <t>NINOVE</t>
  </si>
  <si>
    <t>Brandweer NINOVE</t>
  </si>
  <si>
    <t>DESIRE DE BODTKAAI 3</t>
  </si>
  <si>
    <t>WICHELEN</t>
  </si>
  <si>
    <t>Brandweer WICHELEN</t>
  </si>
  <si>
    <t>MARGOTE 110</t>
  </si>
  <si>
    <t>ZELE</t>
  </si>
  <si>
    <t xml:space="preserve">Brandweer ZELE </t>
  </si>
  <si>
    <t>POSTSTRAAT 2</t>
  </si>
  <si>
    <t>KRUISHOUTEM</t>
  </si>
  <si>
    <t>Brandweer KRUISHOUTEM</t>
  </si>
  <si>
    <t>WARANDESTRAAT 2</t>
  </si>
  <si>
    <t>SEMMERZAKE</t>
  </si>
  <si>
    <t>SNOECK</t>
  </si>
  <si>
    <t>BERGGATSTRAAT 29</t>
  </si>
  <si>
    <t>AMB DENDERMONDE</t>
  </si>
  <si>
    <t>VLASSENHOUT 14</t>
  </si>
  <si>
    <t>HERZELE</t>
  </si>
  <si>
    <t>Brandweer HERZELE</t>
  </si>
  <si>
    <t>MERGELLAAN 75</t>
  </si>
  <si>
    <t>1000</t>
  </si>
  <si>
    <t>BRUSSEL--1</t>
  </si>
  <si>
    <t>camping = misschien te linken aan luik 4 logies</t>
  </si>
  <si>
    <t>waardemed4
waardeluik4.1
waardeluik4.2
waardeluik4.4</t>
  </si>
  <si>
    <t>contorle invullen luik4</t>
  </si>
  <si>
    <t>controle waarde Medische antenne : JA(1) / NEEN(0)</t>
  </si>
  <si>
    <t>controle invullen luik 3</t>
  </si>
  <si>
    <t>contorle vermoedelijke inzet 0 ==&gt; printen anders mailen</t>
  </si>
  <si>
    <t>Vergeet niet dit bestand te saven en te mailen naar :</t>
  </si>
  <si>
    <t>alleen controle op invullen luik 1</t>
  </si>
  <si>
    <t>Koudeketen in orde bij eetkramen</t>
  </si>
  <si>
    <t>Brandblusser bij kramen in geval het kramen met vuur voor warm voedsel zijn</t>
  </si>
  <si>
    <t>Bij verkoop van ticket wordt de vraag gesteld dat manifestatiegangers met chronische aandoening een medische fiche op zak hebben</t>
  </si>
  <si>
    <t>Bij verkoop van ticket wordt een flyer met informatie over preventie gegeven waar ook het medisch luik in betrokken is</t>
  </si>
  <si>
    <t>BJKOMENDE AANDACHTSPUNTEN OP DE CAMPING</t>
  </si>
  <si>
    <t>Drinkwatervoorziening met voldoende debiet</t>
  </si>
  <si>
    <t>Voldoende douches aanwezig</t>
  </si>
  <si>
    <t>Mogelijkheid van stockage en labeling van chronische medicatie</t>
  </si>
  <si>
    <t>MOGELIJKHEDEN VAN ANTWOORD</t>
  </si>
  <si>
    <t>SCORE</t>
  </si>
  <si>
    <t>ISOLATIE VOOR AANKOMENDE HULPDEINSTEN</t>
  </si>
  <si>
    <t>Afstand tot de ambulance</t>
  </si>
  <si>
    <t>&lt; 8 min</t>
  </si>
  <si>
    <t>8-15 min</t>
  </si>
  <si>
    <t>&gt; 15 min</t>
  </si>
  <si>
    <t>Afstand tot de MUG</t>
  </si>
  <si>
    <t>&lt; 10 min</t>
  </si>
  <si>
    <t>10-15 min</t>
  </si>
  <si>
    <t>BEREIKBAARHEID VAN MANIFESTATIE</t>
  </si>
  <si>
    <t>bereikbaarheid</t>
  </si>
  <si>
    <t>Aparte aanrijroute voor hulpdiensten</t>
  </si>
  <si>
    <t>geen aparte aanrijroute voor hulpdiensten en meerdere grote aanrijroutes</t>
  </si>
  <si>
    <t>Geen aparte aanrijroute voor hulpdiensten en beperkte toegang voor hulpdiensten en bezoekers</t>
  </si>
  <si>
    <t>Openbaar vervoer</t>
  </si>
  <si>
    <t>regulier openbaar vervoer in nabijheid</t>
  </si>
  <si>
    <t>Regulier openbaar vervoer op afstand en/of gebruik van eigen pendel</t>
  </si>
  <si>
    <t>Geen openbaar vervoer in nabijheid OF openbaar vervoer rijdt niet meer bij begin/einde van manifestatie</t>
  </si>
  <si>
    <t>PERIMETER VOOR MANIFESTATIE</t>
  </si>
  <si>
    <t>Als op de vraag 15 met NEEN is geantwoord zijn de vragen 16 tot en met 20 niet van toepassing zijn.</t>
  </si>
  <si>
    <t>SINT NIKLAAS</t>
  </si>
  <si>
    <t>AZ NIKOLAAS</t>
  </si>
  <si>
    <t>MOERLANDSTRAAT 1</t>
  </si>
  <si>
    <t>OOST-VLAANDEREN</t>
  </si>
  <si>
    <t>ZOTTEGEM</t>
  </si>
  <si>
    <t>ST.-ELISABETH Ziekenhuis</t>
  </si>
  <si>
    <t>GODVEERDEGEMSTRAAT 59</t>
  </si>
  <si>
    <t>DEINZE</t>
  </si>
  <si>
    <t xml:space="preserve">AZ ST VINCENTIUS </t>
  </si>
  <si>
    <t>SCHUTTERIJSTRAAT 34</t>
  </si>
  <si>
    <t>GERAARDSBERGEN</t>
  </si>
  <si>
    <t>Brandweer GERAARDSBERGEN</t>
  </si>
  <si>
    <t>ZAKKAAI 33</t>
  </si>
  <si>
    <t>BEVEREN</t>
  </si>
  <si>
    <t>Brandweer BEVEREN</t>
  </si>
  <si>
    <t>GRAVENDREEF 5</t>
  </si>
  <si>
    <t>TEMSE</t>
  </si>
  <si>
    <t xml:space="preserve">BRANDWEER TEMSE </t>
  </si>
  <si>
    <t>KASTEELSTRAAT 16</t>
  </si>
  <si>
    <t>Welke nutsvoorzieningen worden vooral gebruikt</t>
  </si>
  <si>
    <t>Worden er VIP's verwacht</t>
  </si>
  <si>
    <t>Is er voldoende openbaar vervoer in de nabijheid</t>
  </si>
  <si>
    <t>Zijn er voldoende parkings in de buurt</t>
  </si>
  <si>
    <t>Wordt er gebruik gemaakt van een eigen shuttle-dienst</t>
  </si>
  <si>
    <t>Is er een vorm van toezicht op de parkings aanwezig (verwittigen van de hulpdiensten in geval van nood)</t>
  </si>
  <si>
    <t>Opmerking : indien dit aantal gelijk is aan nul, betekent dit dat de hulpverlener-ambulancier naast het
eventuele transport ook instaat voor de globale hulpverlening.</t>
  </si>
  <si>
    <t>Minimaal aantal BLS-ploegen op het terrein</t>
  </si>
  <si>
    <t>Welk communicatieschema moet gevolgd worden</t>
  </si>
  <si>
    <t>SCHEMA</t>
  </si>
  <si>
    <t>SOORT</t>
  </si>
  <si>
    <t>WELKE GESPREKSGROEPEN</t>
  </si>
  <si>
    <t>Soort evenement</t>
  </si>
  <si>
    <t>Bereikbaarheid</t>
  </si>
  <si>
    <t>ST. MAARTEN DUFFEL</t>
  </si>
  <si>
    <t>° Ouder dan 65 jaar
° &lt; 10 jaar zonder ouders</t>
  </si>
  <si>
    <t>ALCOHOLGEBRUIK</t>
  </si>
  <si>
    <t>Wordt er alcoholgebruik verwacht</t>
  </si>
  <si>
    <t>Van luik 1 ==&gt; luik 2</t>
  </si>
  <si>
    <t>STAP</t>
  </si>
  <si>
    <t>CONTROLE</t>
  </si>
  <si>
    <t>Van luik 2 ==&gt; luik 4</t>
  </si>
  <si>
    <t>Van luik 4 ==&gt; luik 3</t>
  </si>
  <si>
    <t>MOGELIJKHEDEN</t>
  </si>
  <si>
    <t>Adressen MUG</t>
  </si>
  <si>
    <t>Adressen ziekenwagen</t>
  </si>
  <si>
    <t>Adressen spoed</t>
  </si>
  <si>
    <t>FELGROEN</t>
  </si>
  <si>
    <t>INGEVULDE CEL = OK</t>
  </si>
  <si>
    <t>Ga na of de instelling verwittigd werd van de manifestatie en dat er een alternatieve toegang is.
INDIEN NIET : voorzie extra middelen in of nabij de instelling voor de duur die nodig is om autonoom te draaien</t>
  </si>
  <si>
    <t>Verwittig de huisartsenkring van de manifestatie en de juiste uren van afsluiting van de perimeter</t>
  </si>
  <si>
    <t>VERDERE OPMERKINGEN (VRIJE COMMENTAAR)</t>
  </si>
  <si>
    <t>Schrijf hier Uw eventuele verdere commentaar</t>
  </si>
  <si>
    <t>% van de totale populatie dat tegelijk aanwezig is</t>
  </si>
  <si>
    <t>SPECIFIEKE INSTRUCTIES STAAN IN DE COMMENTAAR BIJ HET VELD</t>
  </si>
  <si>
    <t>Verdere afhandeling</t>
  </si>
  <si>
    <t>U heeft alle nodige stappen doorlopen.</t>
  </si>
  <si>
    <t>tss 10-20 jaar en/of tss 35-65 jaar</t>
  </si>
  <si>
    <t>tss 20-35 jaar</t>
  </si>
  <si>
    <t>LOGIES</t>
  </si>
  <si>
    <r>
      <t xml:space="preserve">Logies </t>
    </r>
    <r>
      <rPr>
        <sz val="11"/>
        <rFont val="Arial"/>
        <family val="2"/>
      </rPr>
      <t xml:space="preserve">voor de bezoekers </t>
    </r>
  </si>
  <si>
    <t>Gelijktijdige risico-manifestaties in de buurt</t>
  </si>
  <si>
    <t>Wordt er gewerkt met eigen security naast de politie</t>
  </si>
  <si>
    <t>ALGEMEEN ZIEKENHUIS MARIA MIDDELARES</t>
  </si>
  <si>
    <t>KORTRIJKSESTEENWEG 1026</t>
  </si>
  <si>
    <t>Oost-Vlaanderen</t>
  </si>
  <si>
    <t>ALGEMEEN ZIEKENHUIS ST. LUCAS</t>
  </si>
  <si>
    <t>GROENEBRIEL 1</t>
  </si>
  <si>
    <t>UNIVERSITAIR ZIEKENHUIS GENT</t>
  </si>
  <si>
    <t>ALGEMEEN ZIEKENHUIS JAN PALFIJN</t>
  </si>
  <si>
    <t>H. DUNANTLAAN 5</t>
  </si>
  <si>
    <t>9100</t>
  </si>
  <si>
    <t>SINT-NIKLAAS</t>
  </si>
  <si>
    <t>ALGEMEEN ZIEKENHUIS NIKOLAAS</t>
  </si>
  <si>
    <t>9160</t>
  </si>
  <si>
    <t>ALGEMEEN ZIEKENHUIS LOKEREN</t>
  </si>
  <si>
    <t>LEPELSTRAAT 2</t>
  </si>
  <si>
    <t>9200</t>
  </si>
  <si>
    <t>ALGEMEEN ZIEKENHUIS ST. BLASIUS</t>
  </si>
  <si>
    <t>KROONVELDLAAN 50</t>
  </si>
  <si>
    <t>9300</t>
  </si>
  <si>
    <t>ONZE LIEVE VROUW ZIEKENHUIS</t>
  </si>
  <si>
    <t>MOORSELBAAN 164</t>
  </si>
  <si>
    <t>ALGEMEEN STEDELIJK ZIEKENHUIS</t>
  </si>
  <si>
    <t>MERESTRAAT 80</t>
  </si>
  <si>
    <t>9600</t>
  </si>
  <si>
    <t>A.Z. ZUSTERS VAN BARMHARTIGHEID</t>
  </si>
  <si>
    <t>GLORIEUXLAAN 55</t>
  </si>
  <si>
    <t>9620</t>
  </si>
  <si>
    <t>GODVEERDEGEMSTRAAT 69</t>
  </si>
  <si>
    <t>9700</t>
  </si>
  <si>
    <t>ALGEMEEN ZIEKENHUIS OUDENAARDE</t>
  </si>
  <si>
    <t>MINDERBROEDERSSTRAAT 3</t>
  </si>
  <si>
    <t>9800</t>
  </si>
  <si>
    <t>ST. VINCENTIUSZIEKENHUIS</t>
  </si>
  <si>
    <t>9900</t>
  </si>
  <si>
    <t>ALGEMEEN ZIEKENHUIS ALMA</t>
  </si>
  <si>
    <t>MOEIE 18</t>
  </si>
  <si>
    <t>1340</t>
  </si>
  <si>
    <t>OTTIGNIES</t>
  </si>
  <si>
    <t>Aantal mensen aanwezig op de manifestatie, die met een ambulance naar het ziekenhuiis vervoerd werden</t>
  </si>
  <si>
    <t>Aantal mensen aanwezig op de manifestatie, die met een ander middel en/of andere ambulance naar het ziekenhuis vervoerd werden</t>
  </si>
  <si>
    <t>beveiliging tabblad "Luik organisator" opheffen</t>
  </si>
  <si>
    <t>Gegevens betreffende de verantwoordelijke ambtenaar in de gemeente (in te vullen in de gemeente)</t>
  </si>
  <si>
    <t>Gegevens betreffende de verzekeringen (indien van toepassing)</t>
  </si>
  <si>
    <t xml:space="preserve">Welke </t>
  </si>
  <si>
    <t>Noodzaak voor het plaatsen van een MUG</t>
  </si>
  <si>
    <t>Uitgestrektheid (geef het resultaat in km²)</t>
  </si>
  <si>
    <t>Berekend aantal MUG-equipes</t>
  </si>
  <si>
    <t>Is volgens dit criterium een ambulance nodig</t>
  </si>
  <si>
    <t>nummer FOD</t>
  </si>
  <si>
    <t>Is volgens dit criterium een MUG nodig</t>
  </si>
  <si>
    <t>h</t>
  </si>
  <si>
    <t>% van de totale populatie die tegelijk aanwezig is</t>
  </si>
  <si>
    <t>Als K8 van luik 1 en Luik 3 volledig is ingevuld kan men zeggen dat deze uitkomst juist is anders zijn de nodige gegevens voor het berekenen van deze velden niet ingevuld en weet men het resultaat nog niet</t>
  </si>
  <si>
    <t>rij 31- 35 onzichtbaar maken</t>
  </si>
  <si>
    <t>kolom P tot T onzichtbaar maken</t>
  </si>
  <si>
    <t>Aanwezigheid van rolstoelgebruikers</t>
  </si>
  <si>
    <t>Aanwezig zonder risicoverwachting</t>
  </si>
  <si>
    <t>Aanwezig met risicoverwachting</t>
  </si>
  <si>
    <t>Overvloedig gebruik</t>
  </si>
  <si>
    <t>DRUGGEBRUIK</t>
  </si>
  <si>
    <t>Wordt er druggebruik verwacht</t>
  </si>
  <si>
    <t>Aanwezig zonder risicoverwachtin</t>
  </si>
  <si>
    <t>ZIEKTE</t>
  </si>
  <si>
    <t>Soort publiek</t>
  </si>
  <si>
    <t>Geen verschil met standaardpopulatie</t>
  </si>
  <si>
    <t>Verantwoordelijke medische voorziening</t>
  </si>
  <si>
    <t>De naam van de verantwoordelijke is niet ingevuld.  Het is raadzaam om geen advies te verlenen wanneer de organisator niet gekend is.</t>
  </si>
  <si>
    <t>De  telefoon van de verantwoordelijke is niet ingevuld.  Het is raadzaam om geen advies te verlenen wanneer de organisator niet bereikbaar is.</t>
  </si>
  <si>
    <t>Verzekeringsmaatschappij</t>
  </si>
  <si>
    <t>Nummer van de polis</t>
  </si>
  <si>
    <t>Polisnummer</t>
  </si>
  <si>
    <t>Type contract</t>
  </si>
  <si>
    <t>Ga na of deze specifieke risico's een effect hebben op deze manifestatie.</t>
  </si>
  <si>
    <t>Er moet een multidisciplinaire coördinatevergadering plaatsvinden met politie</t>
  </si>
  <si>
    <t>Er moet een multidisciplinaire coördinatevergadering plaatsvinden met brandweer</t>
  </si>
  <si>
    <t>Als rampenambtenaar kan u de nodige brieven afprinten zolang er geen advies van FOD vereist is. Deze brieven moeten naar de organisator verstuurd worden zodat deze kan zien welke inzet vereist is. Tevens dient u ze voor te leggen aan de burgemeester.
Indien de aanwezighied van verpleegkundige, ziekenwagen of MUG vereist is kan u geen brieven afprinten.</t>
  </si>
  <si>
    <t>B. Na het ontvangen van het bestand van een organisator :</t>
  </si>
  <si>
    <t>Volg dan de richtlijnen vanaf punt B5</t>
  </si>
  <si>
    <t>met als vermelding : "advies FOD"</t>
  </si>
  <si>
    <t>Na de afloop van de manifestatie wordt u ook vriendelijk verzocht het luik "Verzorgingen" in te vullen of te laten invullen door de verantwoordelijke van de medische inzet (zoals ingevuld in luik 1) en dan het bestand terug te mailen naar ons met als vermelding "Verzorging".</t>
  </si>
  <si>
    <t>Indicatie voor het invullen van PRIMA</t>
  </si>
  <si>
    <t>Maximaal aantal deelnemers</t>
  </si>
  <si>
    <t>oppervlakte objecten</t>
  </si>
  <si>
    <t>Dichtsbijzijnde spoedgevallendienst</t>
  </si>
  <si>
    <t>BEREIKBAARHEID</t>
  </si>
  <si>
    <t>Aanrijroutes tot de manifestatie</t>
  </si>
  <si>
    <t>PERIMETERS</t>
  </si>
  <si>
    <t xml:space="preserve">Aantal te passeren perimeters </t>
  </si>
  <si>
    <t>Uitgestrektheid van het terrein in km²</t>
  </si>
  <si>
    <t>Ondergrond van het terrein</t>
  </si>
  <si>
    <t>Structuur waar evenement doorgaat</t>
  </si>
  <si>
    <t>Aanwezigheid van trappen</t>
  </si>
  <si>
    <t>Aanwezigheid van zitplaatsen</t>
  </si>
  <si>
    <t>Plaats van het gebeuren</t>
  </si>
  <si>
    <t xml:space="preserve">DRUGGEBRUIK </t>
  </si>
  <si>
    <t>Soort manifestatie</t>
  </si>
  <si>
    <t>Exacte duur van de manifestatie</t>
  </si>
  <si>
    <t>Verwachte temperatuur</t>
  </si>
  <si>
    <t>Minimum aantal ambulances</t>
  </si>
  <si>
    <t>Minimum aantal MUG-equipes</t>
  </si>
  <si>
    <t>Minimum aantal hulpverleners in de hulpposten</t>
  </si>
  <si>
    <t>Minimum aantal verpleegkundigen, andere dan de MUG-verpleegkundige</t>
  </si>
  <si>
    <t>Minimum aantal artsen, andere dan de MUG-arts</t>
  </si>
  <si>
    <t>COMBINATIE</t>
  </si>
  <si>
    <t>Noodzaak aan MUG volgens Populatie en Isolatie</t>
  </si>
  <si>
    <t>Noodzaak aan artsen volgens Ziekte</t>
  </si>
  <si>
    <t>Moet een medische antenne geplaatst worden op de manifestatie</t>
  </si>
  <si>
    <t>Moeten maatregelen op afstand genomen worden</t>
  </si>
  <si>
    <t>Moeten specifieke maatregelen genomen worden voor campings</t>
  </si>
  <si>
    <t>Moeten maatregelen genomen worden voor de omwonenden</t>
  </si>
  <si>
    <t>Moeten multidisciplinaire acties ondernomen worden</t>
  </si>
  <si>
    <t>Is de medische noodplanning voldoende uitgewerkt</t>
  </si>
  <si>
    <t>Datum van de manifestatie</t>
  </si>
  <si>
    <t>Maximale populatie die tegelijk aanwezig is</t>
  </si>
  <si>
    <t>Is er nood aan een medische antenne bij deze manifestatie</t>
  </si>
  <si>
    <t>Is er nood aan extra maatregelen i.v.m. de volksgezondheid</t>
  </si>
  <si>
    <t>Is er nood aan maatregelen voor een eventuele camping</t>
  </si>
  <si>
    <t>Totaal aantal te verzorgen personen</t>
  </si>
  <si>
    <t>Hulpverleners</t>
  </si>
  <si>
    <t>Minimaal aantal ambulances</t>
  </si>
  <si>
    <t>Minimaal aantal BLS-ploegen</t>
  </si>
  <si>
    <t xml:space="preserve">  Opmerking : een ambulance is steeds bemand met 2 hulpverleners-ambulancier</t>
  </si>
  <si>
    <t>?</t>
  </si>
  <si>
    <t>12.</t>
  </si>
  <si>
    <t>beveiliging database opheffen</t>
  </si>
  <si>
    <t>Extra ==&gt; beveiliging ==&gt; werkmap opheffen</t>
  </si>
  <si>
    <t>de volgende tabbladen zichtbaar maken :</t>
  </si>
  <si>
    <t>opmaak ==&gt; blad ==&gt; zichtbaar maken</t>
  </si>
  <si>
    <t>vanaf OF amb en/of VP =&gt; mailen FOD, anders brief gemeente</t>
  </si>
  <si>
    <t>Brief 100 : alleen via FOD =&gt; verbergen voor invuller</t>
  </si>
  <si>
    <t>Fuif</t>
  </si>
  <si>
    <t>Als het afval niet kan opgestapeld worden in of nabij de manifestatie, is er dan een afspraak met de gemeentelijke dienst die instaat voor ophalen van huisvuil tijdens de manifestatie</t>
  </si>
  <si>
    <t xml:space="preserve">FELGEEL : </t>
  </si>
  <si>
    <t>LICHTGEEL</t>
  </si>
  <si>
    <t>Ziekenwagendiensten</t>
  </si>
  <si>
    <t>MUG diensten</t>
  </si>
  <si>
    <t>GEMEENTE</t>
  </si>
  <si>
    <t>DIENST</t>
  </si>
  <si>
    <t>ANTWERPEN</t>
  </si>
  <si>
    <t>ZNA Campus JAN PALFIJN</t>
  </si>
  <si>
    <t>Lange Bremstraat 70, 2170 Merksem</t>
  </si>
  <si>
    <t>ZNA Campus STUIVENBERG</t>
  </si>
  <si>
    <t>Lange Beeldekensstraat 267, 2060 Antwerpen</t>
  </si>
  <si>
    <t>ZNA Campus MIDDELHEIM</t>
  </si>
  <si>
    <t>Lindendreef 1, 2020 Antwerpen</t>
  </si>
  <si>
    <t>MONICA</t>
  </si>
  <si>
    <t>Florent Pauwelsstraat 1, 2100 Deurne</t>
  </si>
  <si>
    <t>ZNA Campus ERASMUS</t>
  </si>
  <si>
    <t>Lt. Lippenslaan 55, 2140 Borgerhout</t>
  </si>
  <si>
    <t>AZ ST.VINCENTIUS</t>
  </si>
  <si>
    <t>St.Vincentiusstraat 20, 2018 Antwerpen</t>
  </si>
  <si>
    <t>BONHEIDEN</t>
  </si>
  <si>
    <t>IMELDA ZKH</t>
  </si>
  <si>
    <t>Imeldalaan 9, 2820 Bonheiden</t>
  </si>
  <si>
    <t>BRASSCHAAT</t>
  </si>
  <si>
    <t>KLINA</t>
  </si>
  <si>
    <t>Augusteinslei 100, 2930 Brasschaat</t>
  </si>
  <si>
    <t>EDEGEM</t>
  </si>
  <si>
    <t>UNIVERSITAIR ZH A'PEN</t>
  </si>
  <si>
    <t>Wilrijkstraat 10, 2650 Edegem</t>
  </si>
  <si>
    <t>BORNEM</t>
  </si>
  <si>
    <t>ST. JOZEF</t>
  </si>
  <si>
    <t>Kasteelstraat 23, 2880 Bornem</t>
  </si>
  <si>
    <t>GEEL</t>
  </si>
  <si>
    <t>ST. DIMPNA GEEL</t>
  </si>
  <si>
    <t>JB Stessenstraat 2, 2440 Geel</t>
  </si>
  <si>
    <t>HERENTALS</t>
  </si>
  <si>
    <t>ST. ELISABETH</t>
  </si>
  <si>
    <t>Nederrij 133, 2200 Herentals</t>
  </si>
  <si>
    <t>DUFFEL</t>
  </si>
  <si>
    <t>ST. AUGUSTINUS</t>
  </si>
  <si>
    <t>Oosterveldlaan 24, 2610 Wilrijk</t>
  </si>
  <si>
    <t>BOOM</t>
  </si>
  <si>
    <t>MOL</t>
  </si>
  <si>
    <t>Gasthuisstraat 1, 2400 Mol</t>
  </si>
  <si>
    <t>RUMST</t>
  </si>
  <si>
    <t>HEILIGE FAMILIE</t>
  </si>
  <si>
    <t xml:space="preserve">S Heerenbaan 172, 2840 Rumst </t>
  </si>
  <si>
    <t>Steenweg op Merksplas 44, 2300 Turnhout</t>
  </si>
  <si>
    <t>ESSEN</t>
  </si>
  <si>
    <t>HOOGSTRATEN</t>
  </si>
  <si>
    <t>KALMTHOUT</t>
  </si>
  <si>
    <t>WESTERLO</t>
  </si>
  <si>
    <t>WIJNEGEM</t>
  </si>
  <si>
    <t>WILLEBROEK</t>
  </si>
  <si>
    <t>WUUSTWEZEL</t>
  </si>
  <si>
    <t>CONTRÔLE VAN VOLGENDE SHEETS OK</t>
  </si>
  <si>
    <t>MARIAZIEKENHUIS NOORD-LIMBURG</t>
  </si>
  <si>
    <t>Vlaams-Brabant</t>
  </si>
  <si>
    <t>REGIONAAL ZIEKENHUIS HEILIG HART Vzw</t>
  </si>
  <si>
    <t>1030</t>
  </si>
  <si>
    <t>BRUXELLES--3</t>
  </si>
  <si>
    <t>RUE DU FOYER SCHAERBEEKOIS 36</t>
  </si>
  <si>
    <t>Brussel-Bruxelles</t>
  </si>
  <si>
    <t>CLINIQUES UNIVERSITAIRES DE BRUXELLES HOPITAL ERASME</t>
  </si>
  <si>
    <t>CENTRE HOSPITALIER UNIV. ST.-PIERRE</t>
  </si>
  <si>
    <t>CLINIQUES UNIVERSITAIRES ST.-LUC</t>
  </si>
  <si>
    <t>CENTRE HOSPITALIER TUBIZE - NIVELLES</t>
  </si>
  <si>
    <t>1420</t>
  </si>
  <si>
    <t>BRAINE-L'ALLEUD</t>
  </si>
  <si>
    <t>C.H. INTERREGIONAL EDITH CAVELL</t>
  </si>
  <si>
    <t>RUE WAYEZ 35</t>
  </si>
  <si>
    <t>1480</t>
  </si>
  <si>
    <t>AVENUE DE SCANDIANO 8</t>
  </si>
  <si>
    <t>C.H. UNIVERSITAIRE AMBROISE PARE</t>
  </si>
  <si>
    <t>Hainaut</t>
  </si>
  <si>
    <t>C.H.R. CLIN.ST. JOSEPH - HOPITAL DE WARQUIGNIES</t>
  </si>
  <si>
    <t>CENTRE HOSPITALIER DE JOLIMONT - LOBBES</t>
  </si>
  <si>
    <t>7300</t>
  </si>
  <si>
    <t>BOUSSU</t>
  </si>
  <si>
    <t>C.H.R. CLINIQUE ST. JOSEPH - HÔPITAL DE WARQUIGNIES</t>
  </si>
  <si>
    <t>RUE DES CHAUFOURS 27</t>
  </si>
  <si>
    <t>BOULEVARD DU ROI ALBERT 1</t>
  </si>
  <si>
    <t>C.H.U. DE CHARLEROI</t>
  </si>
  <si>
    <t>CENTRE HOSPITALIER DE LA HAUTE SENNE</t>
  </si>
  <si>
    <t>CHAUSSEE DE BRAINE 47</t>
  </si>
  <si>
    <t>C. H. UNIVERSITAIRE ANDRE VESALE</t>
  </si>
  <si>
    <t>Medisch dispositief is permanent te bereiken op volgend nummer tijdens deze uren</t>
  </si>
  <si>
    <t>Aantal ziekenwagens conform de norm van de dienst 100</t>
  </si>
  <si>
    <t>Aantal ziekenwagens die niet beantwoorden aan de 100-norm</t>
  </si>
  <si>
    <t>Aantal MUG-equipes</t>
  </si>
  <si>
    <t>Communicatieplan</t>
  </si>
  <si>
    <t>Welke communicatiemiddelen</t>
  </si>
  <si>
    <t>Indien ASTRID-radio’s gebruikt worden: welke gespreksgroepen worden gebruikt</t>
  </si>
  <si>
    <t>Alle verdere opmerkingen en mededelingen kunt U in bijlage geven.  Gelieve het aantal bijlagen juist te vermelden</t>
  </si>
  <si>
    <t>JA / NEEN</t>
  </si>
  <si>
    <t>Aantal bijlagen :</t>
  </si>
  <si>
    <t>Gemeente</t>
  </si>
  <si>
    <t>Postcode :</t>
  </si>
  <si>
    <t>Postcode en gemeente :</t>
  </si>
  <si>
    <t>postcode</t>
  </si>
  <si>
    <t>vervoer</t>
  </si>
  <si>
    <r>
      <t>Gemeente</t>
    </r>
    <r>
      <rPr>
        <sz val="10"/>
        <color indexed="8"/>
        <rFont val="Arial"/>
        <family val="2"/>
      </rPr>
      <t xml:space="preserve"> waar de manifestatie doorgaat</t>
    </r>
  </si>
  <si>
    <t>afvoer naar ziekenhuis</t>
  </si>
  <si>
    <t>Ambulance</t>
  </si>
  <si>
    <t>Ander middel</t>
  </si>
  <si>
    <t xml:space="preserve">Welk communicatieschema </t>
  </si>
  <si>
    <t>Aantal perimeters aanwezig</t>
  </si>
  <si>
    <t>icm.antwerpen@health.fgov.be</t>
  </si>
  <si>
    <t>Minimaal</t>
  </si>
  <si>
    <t>Deze velden dienen ingevuld worden door de verantwoordelijke voor het medische dispositief na het geven van een advies</t>
  </si>
  <si>
    <r>
      <t>Na het evenement dient de preventieve hulporganisatie de evaluatiecijfers over te maken. Hiervoor dient u het document "Verzorgingen" in bijlage in te vullen en terug te sturen naar :</t>
    </r>
    <r>
      <rPr>
        <b/>
        <sz val="14"/>
        <rFont val="Arial"/>
        <family val="2"/>
      </rPr>
      <t xml:space="preserve"> icm.antwerpen@health.fgov.be</t>
    </r>
  </si>
  <si>
    <t>Is de verwittiging van de 100-centrale geregeld</t>
  </si>
  <si>
    <t>Vraag na of de instelling verwittigd werd van de manifestatie en dat er een alternatieve toegang is
INDIEN NIET : voorzie extra middelen in de instelling voor de duur die nodig is om autonoom te draaien</t>
  </si>
  <si>
    <t>Verander zo mogelijk de apotheker van wacht
INDIEN DIT NIET MOGELIJK IS : zorg voor een vrije toegang tot aan de apotheek</t>
  </si>
  <si>
    <t>Vraag het aantal omwonenden op (invullen van poulatie)
Vraag na of de omwonenden verwittigd werden</t>
  </si>
  <si>
    <t>Berekende populatie</t>
  </si>
  <si>
    <t>(1) : Dit aantal kan toenemen of afnemen volgens het POPULATIE- of ZIEKTERISICO</t>
  </si>
  <si>
    <t>INGEVULDE RESULTATEN UIT LUIK 3</t>
  </si>
  <si>
    <t>Oppervlakte die overeenkomt met de BLS-score (neem oppervlakte uit tabel BLS-1 die overeenkomt met de BLS-score</t>
  </si>
  <si>
    <t>In luik 3 berekende BLS-score</t>
  </si>
  <si>
    <t>Oppervlakte van het terrein in km² (vraag 7 in luik 3)</t>
  </si>
  <si>
    <t xml:space="preserve">Inschatting van het aantal benodigde BLS-ploegen </t>
  </si>
  <si>
    <t>INSCHATTING VAN DE TE NEMEN MAATREGELEN VOOR DE OMWONENDEN</t>
  </si>
  <si>
    <t>TOTALE POPULATIE DIE IN REKENING MOET GEBRACHT WORDEN VOOR DE MANIFESTATIE</t>
  </si>
  <si>
    <t>score ZIE</t>
  </si>
  <si>
    <t>(22-33) min vraag 31</t>
  </si>
  <si>
    <t>Duur van de manifestatie in uren</t>
  </si>
  <si>
    <t>Score van het ziekterisico</t>
  </si>
  <si>
    <t>verzwaringsfactor (in te vullen volgens de tabel ZIE-1)</t>
  </si>
  <si>
    <t>Oppervlakte per patiënt in m² (inclusief administratie en stockage, exclusief coördinatie)</t>
  </si>
  <si>
    <t>Aantal simultane behandelingen en dus te voorzien aantal plaatsen in de hulppost(en)</t>
  </si>
  <si>
    <t>Minimale totale oppervlakte voor de hulppost(en)</t>
  </si>
  <si>
    <t>R4 : RISICO-AS 4 : OBJECTIVATIE VAN DE GEGEVENS</t>
  </si>
  <si>
    <t>Aantal vragen voor (eenvoudige) medische verzorging</t>
  </si>
  <si>
    <t>Exacte duur van de manifestatie (nr 31)</t>
  </si>
  <si>
    <t>score REG (34+35)</t>
  </si>
  <si>
    <t>score LIT (36)</t>
  </si>
  <si>
    <t>score MUL (37-46)</t>
  </si>
  <si>
    <t>score MIP (47-53)</t>
  </si>
  <si>
    <t>Populatie (nr 21)</t>
  </si>
  <si>
    <t>OVER TE NEMEN RESULTAAT</t>
  </si>
  <si>
    <t>INGEVULDE SCORE</t>
  </si>
  <si>
    <t>ISOLATIE</t>
  </si>
  <si>
    <t>POPULATIE</t>
  </si>
  <si>
    <t>OBJECTIVATIE</t>
  </si>
  <si>
    <t>PREPAREDNESS</t>
  </si>
  <si>
    <t>INSCHATTING VAN DE OBJECTIVATIE</t>
  </si>
  <si>
    <t>INSCHATTING VAN HET NOODPLAN VAN/VOOR DE MANIFESTATIE</t>
  </si>
  <si>
    <t>Berekend aantal ambulances</t>
  </si>
  <si>
    <t>formule</t>
  </si>
  <si>
    <t>Luik1 = ingevuld ==&gt; I40 = 0 ==&gt; opgepast als de naam van de versie veranderd ==&gt; formule aanpassen</t>
  </si>
  <si>
    <t>controlecellen luik 2</t>
  </si>
  <si>
    <t>D4 tot en met D8</t>
  </si>
  <si>
    <t>Berekend aantal MUG'n</t>
  </si>
  <si>
    <t>Aantal dringende aandoeningen (vraag voor arts en/of voor ambulancetransport naar ziekenhuis)</t>
  </si>
  <si>
    <t>R1-A - BEREKENING VAN DE NOODZAAK AAN AMBULANCES</t>
  </si>
  <si>
    <t>Groene achtergrond</t>
  </si>
  <si>
    <t>Waarde, overgenomen uit de sheet "LUIK 3 + SCORE"</t>
  </si>
  <si>
    <t>Blauwe achtergrond (tabel)</t>
  </si>
  <si>
    <t>Vul u gegevens in en vergeet niet uw mailadres zodat de organisator weet naar waar hij de ingevulde versie mag versturen</t>
  </si>
  <si>
    <t>ADM. COM. FLORENVILLE</t>
  </si>
  <si>
    <t xml:space="preserve">RUE DE CARIGNAN </t>
  </si>
  <si>
    <t>PALISEUL</t>
  </si>
  <si>
    <t>Service d'Incendie PALISEUL</t>
  </si>
  <si>
    <t>RUE DE LA STATION 52</t>
  </si>
  <si>
    <t>EREZEE</t>
  </si>
  <si>
    <t>Service d'Incendie EREZEE</t>
  </si>
  <si>
    <t>RUE DES COMBATTANTS 25</t>
  </si>
  <si>
    <t>VIELSAM</t>
  </si>
  <si>
    <t>Service d'Incendie VIELSAM</t>
  </si>
  <si>
    <t xml:space="preserve">RUE DE LA CLINIQUE </t>
  </si>
  <si>
    <t>CURFOZ</t>
  </si>
  <si>
    <t>Service d'Incendie BOUILLON</t>
  </si>
  <si>
    <t>RUE DES 4 MOINEAUX</t>
  </si>
  <si>
    <t>NEUFCHATEAU</t>
  </si>
  <si>
    <t>Service d'Incendie NEUFCHATEAU</t>
  </si>
  <si>
    <t>Meerdaagse wandelmarsen</t>
  </si>
  <si>
    <t>Motorsport</t>
  </si>
  <si>
    <t>Muziekevenement (andere dan klassieke muziek of rock/house/techno)</t>
  </si>
  <si>
    <t>Optochten</t>
  </si>
  <si>
    <t>pensenkermis</t>
  </si>
  <si>
    <t>Rockconcert</t>
  </si>
  <si>
    <t>Show</t>
  </si>
  <si>
    <t>Sportevenement (behalve marathon, wielrennen, meerdaagse wandelmarsen of competitie)</t>
  </si>
  <si>
    <t>Straatfestival (behalve karnaval)</t>
  </si>
  <si>
    <t>Tentoonstelling</t>
  </si>
  <si>
    <t>Theater</t>
  </si>
  <si>
    <t>Vliegshow</t>
  </si>
  <si>
    <t>Vliegshow static</t>
  </si>
  <si>
    <t>Huwelijk BV</t>
  </si>
  <si>
    <t>Wielrennen achter derny</t>
  </si>
  <si>
    <t>Eroticabeurs</t>
  </si>
  <si>
    <t>Vlooienmarkt</t>
  </si>
  <si>
    <t>Volksbal</t>
  </si>
  <si>
    <t>AFKAPPUNTEN</t>
  </si>
  <si>
    <t>AMBULANCE</t>
  </si>
  <si>
    <t>Geen MUG tot</t>
  </si>
  <si>
    <t>2 MUG vanaf</t>
  </si>
  <si>
    <t>geen ambulance nodig</t>
  </si>
  <si>
    <t>noodzaak te evalueren volgens andere resultaten</t>
  </si>
  <si>
    <t>tot</t>
  </si>
  <si>
    <t>vanaf</t>
  </si>
  <si>
    <t>Geen MUG nodig</t>
  </si>
  <si>
    <t>Evalueer in functie van andere resultaten</t>
  </si>
  <si>
    <t>MUG noodzakelijk</t>
  </si>
  <si>
    <t>1 ambulance vanaf</t>
  </si>
  <si>
    <t>2 ambulance vanaf</t>
  </si>
  <si>
    <t>3 ambulance vanaf</t>
  </si>
  <si>
    <t>4 ambulance vanaf</t>
  </si>
  <si>
    <t>5 ambulance vanaf</t>
  </si>
  <si>
    <t>6 ambulance vanaf</t>
  </si>
  <si>
    <t>7 ambulance vanaf</t>
  </si>
  <si>
    <t>8 ambulance vanaf</t>
  </si>
  <si>
    <t>Vuurwerk</t>
  </si>
  <si>
    <t>Wielrennen</t>
  </si>
  <si>
    <t>Ruim voorzien (interne en externe communicatie)
via vaste structuur</t>
  </si>
  <si>
    <t>Ernstige pathologie met chronische behandeling</t>
  </si>
  <si>
    <t>Gehandicapten of milde pathologie met chronische behandeling</t>
  </si>
  <si>
    <t>NIET VAN TOEPASSING</t>
  </si>
  <si>
    <t xml:space="preserve"> NIET VAN TOEPASSING</t>
  </si>
  <si>
    <t xml:space="preserve">Moet er een operatieorder medisch presentieve hulpdienst opgesteld worden </t>
  </si>
  <si>
    <t>mail :</t>
  </si>
  <si>
    <t>Oude Liersebaan 4, 2390 Malle</t>
  </si>
  <si>
    <t>BEERSE</t>
  </si>
  <si>
    <t>MECHELEN</t>
  </si>
  <si>
    <t>ST.-MAARTEN MECHELEN</t>
  </si>
  <si>
    <t>Leopoldstraat 2, 2800 Mechelen</t>
  </si>
  <si>
    <t>BERLAAR</t>
  </si>
  <si>
    <t>TURNHOUT</t>
  </si>
  <si>
    <t>Rubensstraat 160, 2300 Turnhout</t>
  </si>
  <si>
    <t>Trauma ten gevolge van gedrum (massa)</t>
  </si>
  <si>
    <t>WILRIJK</t>
  </si>
  <si>
    <t>Verwacht aantal bezoekers</t>
  </si>
  <si>
    <t>b</t>
  </si>
  <si>
    <t>Verwacht aantal deelnemers</t>
  </si>
  <si>
    <t>c</t>
  </si>
  <si>
    <t>Aantal mensen, ingezet door de organisatie</t>
  </si>
  <si>
    <t>d</t>
  </si>
  <si>
    <t>e</t>
  </si>
  <si>
    <t>f</t>
  </si>
  <si>
    <t>g</t>
  </si>
  <si>
    <t>Administratieve gegevens van de organisator</t>
  </si>
  <si>
    <t>Naam en voornaam</t>
  </si>
  <si>
    <t>Adres</t>
  </si>
  <si>
    <t>Te bereiken los van de manifestatie</t>
  </si>
  <si>
    <t>Te bereiken tijdens de manifestatie</t>
  </si>
  <si>
    <t>Behoort tot volgende organisatie/ziekenhuis/..</t>
  </si>
  <si>
    <t>Te bereiken via de organisatie op nummer</t>
  </si>
  <si>
    <t>LUIK 1 - ADMINISTRATIEVE GEGEVENS BIJ DE AANVRAAG VAN DE RISICOMANIFESTATIE 
(STEEDS VOLLEDIG IN TE VULLEN)</t>
  </si>
  <si>
    <t>Ga na of de  wettelijke vereisten toegepast werden.  Actueel is er (naast het KB van 16/02/06) specifieke wetgeving voor rally's, voetbal en motorcross</t>
  </si>
  <si>
    <t>3.5. Verdere administratieve gegevens</t>
  </si>
  <si>
    <t>Verzekering</t>
  </si>
  <si>
    <t>HERGENRATH</t>
  </si>
  <si>
    <t>Croix Rouge KELMIS</t>
  </si>
  <si>
    <t>ALTENBERGSTRASSE 108</t>
  </si>
  <si>
    <t>GRIVEGNEE</t>
  </si>
  <si>
    <t>Ambulances J. Courtois</t>
  </si>
  <si>
    <t>RUE BELVAUX 51</t>
  </si>
  <si>
    <t>SERAING</t>
  </si>
  <si>
    <t>NEW SPEED AMBULANCE</t>
  </si>
  <si>
    <t>BOULEVARD PASTEUR 2</t>
  </si>
  <si>
    <t>HAMOIR</t>
  </si>
  <si>
    <t>Service d'Incendie HAMOIR</t>
  </si>
  <si>
    <t>RUE DE TOHOGNE 10</t>
  </si>
  <si>
    <t>VERVIERS</t>
  </si>
  <si>
    <t>Service d'Incendie VERVIERS</t>
  </si>
  <si>
    <t>RUE SIMON LOBET 36</t>
  </si>
  <si>
    <t>Croix Rouge LIEGE</t>
  </si>
  <si>
    <t>RUE DARCHIS 6</t>
  </si>
  <si>
    <t>HANNUT</t>
  </si>
  <si>
    <t>Service d'Incendie HANNUT</t>
  </si>
  <si>
    <t>RUE JOSEPH WAUTERS 65</t>
  </si>
  <si>
    <t>SPA</t>
  </si>
  <si>
    <t>C.P.A.S. SPA</t>
  </si>
  <si>
    <t>RUE HANSTER 8</t>
  </si>
  <si>
    <t>SAINT-VITH</t>
  </si>
  <si>
    <t>Service d'Incendie ST-VITH</t>
  </si>
  <si>
    <t>ALTE AACHENERSTRASSE 23</t>
  </si>
  <si>
    <t>BATTICE-HERVE</t>
  </si>
  <si>
    <t>Service d'Incendie BATTICE-HERVE</t>
  </si>
  <si>
    <t>AVENUE DE WANDRE 47B</t>
  </si>
  <si>
    <t>MALMEDY</t>
  </si>
  <si>
    <t>Service d'Incendie MALMEDY + PIT</t>
  </si>
  <si>
    <t>RUE JOSEPH WERSON 1</t>
  </si>
  <si>
    <t>STAVELOT</t>
  </si>
  <si>
    <t xml:space="preserve">LICHTBLAUW : </t>
  </si>
  <si>
    <t>AUTOMATISCH BEREKEND VELD</t>
  </si>
  <si>
    <t xml:space="preserve">LICHTGROEN : </t>
  </si>
  <si>
    <t>UITLEG BIJ DE TE KIEZEN OPTIES</t>
  </si>
  <si>
    <t xml:space="preserve">WIT : </t>
  </si>
  <si>
    <t>TITEL/ONDERWERP VAN HET VELD</t>
  </si>
  <si>
    <t>ORANJE :</t>
  </si>
  <si>
    <t xml:space="preserve"> TITEL EN/OF INSTRUCTIE</t>
  </si>
  <si>
    <t>ZELF INVULLEN OF KIEZEN UIT EEN LIJST</t>
  </si>
  <si>
    <t>VOORGESTELD ANTWOORD (MAG GEWIJZIJGD WORDEN</t>
  </si>
  <si>
    <t>KLEURENCODE VOOR DE ACHTERGROND</t>
  </si>
  <si>
    <t>GEGEVENS VOOR DE BEREKENING VAN DE MEDISCHE WORKLOAD  VAN DE MANIFESTATIE</t>
  </si>
  <si>
    <t>40-48  =&gt;  5</t>
  </si>
  <si>
    <t>Een operatieorder moet minimaal 10 dagen voor de manifestatie overgemaakt worden aan de gezondheidsinspectie. Indien deze termijn niet gerespecteerd wordt, kan dit leiden tot een negatief advies vanwege de PCDGH en dreigt de manifestatie niet te kunnen doorgaan.</t>
  </si>
  <si>
    <t>Aanwezigheid van kinderen</t>
  </si>
  <si>
    <t>Aanwezigheid van drugs</t>
  </si>
  <si>
    <t>Is er gedacht aan de mogelijkheid van verloren gelopen kinderen. Is er eventueel opvang voorzien voor deze verloren gelopen kinderen. Men kan aanraden het GSM-nummer van de ouders of begeleiders op de pols van het kind te noteren of een bandje rond de pols doen.</t>
  </si>
  <si>
    <t>6. LIJST VAN DE NAMEN VAN DE HULPVERLENERS AANWEZIG OP DE MANIFESTATIE.</t>
  </si>
  <si>
    <t>Artsen</t>
  </si>
  <si>
    <t>Verpleegkundigen</t>
  </si>
  <si>
    <t>Ga na of de inzet voldoende gekend is bij de andere disciplines.</t>
  </si>
  <si>
    <t>% van de populatie die tegelijk aanwezig is</t>
  </si>
  <si>
    <t>((a+b+c+d+e)-f)*(g/100)</t>
  </si>
  <si>
    <t>Gedeelte van de duur dat mensen aanwezig zijn op de manifestatie (in%)</t>
  </si>
  <si>
    <t>%</t>
  </si>
  <si>
    <t>TEMPERATUUR</t>
  </si>
  <si>
    <t>Moeten er maatregelen genomen worden voor omwonenden</t>
  </si>
  <si>
    <t>Te nemen maatregelen op basis van de voorgaande registraties</t>
  </si>
  <si>
    <t>Deze vragen zijn in feite aandachtspunten.  De organisator moet niet gecontacteerd worden om te vragen of het al dan niet in orde is; de bedoeling van deze vragen is om de aandacht van de organisator te trekken op deze problematiek.  De vragen met JA worden niet herhaald in het advies; de vragen die met NEEN beantwoord werden, worden automatisch herhaald in het advies</t>
  </si>
  <si>
    <t>rekening houden met podium</t>
  </si>
  <si>
    <t>KONINGIN M.L. LAAN  23</t>
  </si>
  <si>
    <t>LANAKEN</t>
  </si>
  <si>
    <t>AMBI-CARE</t>
  </si>
  <si>
    <t>KIEZELWEG 43</t>
  </si>
  <si>
    <t>MAASMECHELEN</t>
  </si>
  <si>
    <t>LIFECARE AMBULANCE MAASLAND VZW</t>
  </si>
  <si>
    <t>GENIESKENSSTRAAT 58/1</t>
  </si>
  <si>
    <t>ARLON</t>
  </si>
  <si>
    <t>Te nemen maatregelen op basis van de score voor de literatuur</t>
  </si>
  <si>
    <t>Is een multidisciplinaire bijsturing noodzakelijk</t>
  </si>
  <si>
    <t>BEREKENING VAN DE INZET VOOR DE RISICOMANIFESTATIE (3 BLADZIJDEN)</t>
  </si>
  <si>
    <t>LUIK 4 : VERDER EFFECT OP PUBLIC HEALTH</t>
  </si>
  <si>
    <t>OPMERKING : KIES EEN SCHEMA UIT DE TE VOLGEN COMMUNICATIESCHEMA</t>
  </si>
  <si>
    <t>Schema 1</t>
  </si>
  <si>
    <t>Minimalistisch</t>
  </si>
  <si>
    <t>Gespreksgroep medisch operationeel</t>
  </si>
  <si>
    <t>Gespreksgroep multidisciplinaire coördinatie en overleg</t>
  </si>
  <si>
    <t>Schema 2</t>
  </si>
  <si>
    <t>OMZETTING VAN DATUM NAAR INTEGER</t>
  </si>
  <si>
    <t>REDEN : Berekening van datum verwittiging HC100</t>
  </si>
  <si>
    <t>Datum, omgezet naar cijfer</t>
  </si>
  <si>
    <t>Cijfer minus 10 dagen</t>
  </si>
  <si>
    <t>Middelmatig</t>
  </si>
  <si>
    <t>Gespreksgroep medisch logistiek</t>
  </si>
  <si>
    <t>Schema 3</t>
  </si>
  <si>
    <t>Maximaal</t>
  </si>
  <si>
    <t>Gespreksgroep medisch coördinatie</t>
  </si>
  <si>
    <t>steven.vermeeren@mechelen.be</t>
  </si>
  <si>
    <t>Steven Vermeeren</t>
  </si>
  <si>
    <t>0477/47.02.80</t>
  </si>
  <si>
    <t>neen</t>
  </si>
  <si>
    <t>1 gemeente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</si>
</sst>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mm/yyyy;@"/>
    <numFmt numFmtId="165" formatCode="ddd\ d/mmm"/>
    <numFmt numFmtId="166" formatCode="h"/>
    <numFmt numFmtId="167" formatCode="h:mm;@"/>
    <numFmt numFmtId="168" formatCode="0.0"/>
  </numFmts>
  <fonts count="122" x14ac:knownFonts="1">
    <font>
      <sz val="10"/>
      <name val="Arial"/>
    </font>
    <font>
      <sz val="10"/>
      <name val="Arial"/>
    </font>
    <font>
      <sz val="8"/>
      <name val="Arial"/>
      <family val="2"/>
    </font>
    <font>
      <b/>
      <sz val="10"/>
      <name val="Arial"/>
      <family val="2"/>
    </font>
    <font>
      <sz val="10"/>
      <name val="Arial"/>
      <family val="2"/>
    </font>
    <font>
      <u/>
      <sz val="10"/>
      <color indexed="12"/>
      <name val="Arial"/>
      <family val="2"/>
    </font>
    <font>
      <sz val="10"/>
      <color indexed="8"/>
      <name val="Arial"/>
      <family val="2"/>
    </font>
    <font>
      <sz val="10"/>
      <color indexed="12"/>
      <name val="Arial"/>
      <family val="2"/>
    </font>
    <font>
      <b/>
      <sz val="12"/>
      <name val="Arial"/>
      <family val="2"/>
    </font>
    <font>
      <i/>
      <sz val="10"/>
      <name val="Arial"/>
      <family val="2"/>
    </font>
    <font>
      <sz val="11"/>
      <name val="Arial"/>
      <family val="2"/>
    </font>
    <font>
      <b/>
      <sz val="11"/>
      <color indexed="10"/>
      <name val="Arial"/>
      <family val="2"/>
    </font>
    <font>
      <sz val="10"/>
      <color indexed="10"/>
      <name val="Arial"/>
      <family val="2"/>
    </font>
    <font>
      <b/>
      <sz val="10"/>
      <color indexed="10"/>
      <name val="Arial"/>
      <family val="2"/>
    </font>
    <font>
      <sz val="10"/>
      <color indexed="60"/>
      <name val="Arial"/>
      <family val="2"/>
    </font>
    <font>
      <b/>
      <sz val="10"/>
      <color indexed="60"/>
      <name val="Arial"/>
      <family val="2"/>
    </font>
    <font>
      <b/>
      <i/>
      <sz val="10"/>
      <name val="Arial"/>
      <family val="2"/>
    </font>
    <font>
      <sz val="11"/>
      <name val="Arial"/>
      <family val="2"/>
    </font>
    <font>
      <i/>
      <u/>
      <sz val="10"/>
      <name val="Arial"/>
      <family val="2"/>
    </font>
    <font>
      <sz val="11"/>
      <name val="Garamond"/>
      <family val="1"/>
    </font>
    <font>
      <i/>
      <sz val="9"/>
      <name val="Arial"/>
      <family val="2"/>
    </font>
    <font>
      <i/>
      <sz val="9"/>
      <color indexed="12"/>
      <name val="Arial"/>
      <family val="2"/>
    </font>
    <font>
      <sz val="11"/>
      <color indexed="10"/>
      <name val="Arial"/>
      <family val="2"/>
    </font>
    <font>
      <i/>
      <sz val="8"/>
      <color indexed="12"/>
      <name val="Arial"/>
      <family val="2"/>
    </font>
    <font>
      <b/>
      <sz val="10"/>
      <color indexed="8"/>
      <name val="Arial"/>
      <family val="2"/>
    </font>
    <font>
      <b/>
      <u/>
      <sz val="11"/>
      <name val="Arial"/>
      <family val="2"/>
    </font>
    <font>
      <sz val="12"/>
      <name val="Arial"/>
      <family val="2"/>
    </font>
    <font>
      <sz val="12"/>
      <color indexed="8"/>
      <name val="Garamond"/>
      <family val="1"/>
    </font>
    <font>
      <b/>
      <u/>
      <sz val="10"/>
      <name val="Arial"/>
      <family val="2"/>
    </font>
    <font>
      <sz val="8"/>
      <color indexed="81"/>
      <name val="Tahoma"/>
      <family val="2"/>
    </font>
    <font>
      <sz val="9"/>
      <color indexed="81"/>
      <name val="Tahoma"/>
      <family val="2"/>
    </font>
    <font>
      <i/>
      <sz val="9"/>
      <color indexed="81"/>
      <name val="Tahoma"/>
      <family val="2"/>
    </font>
    <font>
      <u/>
      <sz val="9"/>
      <color indexed="10"/>
      <name val="Tahoma"/>
      <family val="2"/>
    </font>
    <font>
      <sz val="9"/>
      <color indexed="10"/>
      <name val="Tahoma"/>
      <family val="2"/>
    </font>
    <font>
      <sz val="10"/>
      <color indexed="81"/>
      <name val="Arial"/>
      <family val="2"/>
    </font>
    <font>
      <u/>
      <sz val="10"/>
      <color indexed="10"/>
      <name val="Arial"/>
      <family val="2"/>
    </font>
    <font>
      <b/>
      <sz val="10"/>
      <color indexed="18"/>
      <name val="Arial"/>
      <family val="2"/>
    </font>
    <font>
      <sz val="10"/>
      <color indexed="18"/>
      <name val="Arial"/>
      <family val="2"/>
    </font>
    <font>
      <b/>
      <sz val="10"/>
      <color indexed="56"/>
      <name val="Arial"/>
      <family val="2"/>
    </font>
    <font>
      <sz val="10"/>
      <color indexed="56"/>
      <name val="Arial"/>
      <family val="2"/>
    </font>
    <font>
      <b/>
      <i/>
      <sz val="10"/>
      <color indexed="18"/>
      <name val="Arial"/>
      <family val="2"/>
    </font>
    <font>
      <b/>
      <sz val="11"/>
      <color indexed="8"/>
      <name val="Arial"/>
      <family val="2"/>
    </font>
    <font>
      <i/>
      <sz val="10"/>
      <color indexed="10"/>
      <name val="Arial"/>
      <family val="2"/>
    </font>
    <font>
      <i/>
      <sz val="10"/>
      <color indexed="18"/>
      <name val="Arial"/>
      <family val="2"/>
    </font>
    <font>
      <b/>
      <u/>
      <sz val="12"/>
      <name val="Arial"/>
      <family val="2"/>
    </font>
    <font>
      <sz val="12"/>
      <name val="Arial"/>
      <family val="2"/>
    </font>
    <font>
      <i/>
      <u/>
      <sz val="12"/>
      <name val="Arial"/>
      <family val="2"/>
    </font>
    <font>
      <u/>
      <sz val="12"/>
      <name val="Arial"/>
      <family val="2"/>
    </font>
    <font>
      <b/>
      <u/>
      <sz val="14"/>
      <name val="Arial"/>
      <family val="2"/>
    </font>
    <font>
      <sz val="9"/>
      <name val="Arial"/>
      <family val="2"/>
    </font>
    <font>
      <sz val="12"/>
      <name val="Garamond"/>
      <family val="1"/>
    </font>
    <font>
      <i/>
      <u/>
      <sz val="12"/>
      <name val="Garamond"/>
      <family val="1"/>
    </font>
    <font>
      <i/>
      <sz val="12"/>
      <name val="Garamond"/>
      <family val="1"/>
    </font>
    <font>
      <sz val="10"/>
      <name val="Garamond"/>
      <family val="1"/>
    </font>
    <font>
      <sz val="9"/>
      <name val="Garamond"/>
      <family val="1"/>
    </font>
    <font>
      <sz val="12"/>
      <color indexed="9"/>
      <name val="Arial"/>
      <family val="2"/>
    </font>
    <font>
      <b/>
      <sz val="14"/>
      <name val="Arial"/>
      <family val="2"/>
    </font>
    <font>
      <sz val="18"/>
      <name val="Arial"/>
      <family val="2"/>
    </font>
    <font>
      <b/>
      <sz val="11"/>
      <name val="Arial"/>
      <family val="2"/>
    </font>
    <font>
      <b/>
      <u/>
      <sz val="11"/>
      <color indexed="12"/>
      <name val="Arial"/>
      <family val="2"/>
    </font>
    <font>
      <b/>
      <sz val="11"/>
      <color indexed="12"/>
      <name val="Arial"/>
      <family val="2"/>
    </font>
    <font>
      <sz val="11"/>
      <color indexed="12"/>
      <name val="Arial"/>
      <family val="2"/>
    </font>
    <font>
      <b/>
      <u/>
      <sz val="10"/>
      <color indexed="8"/>
      <name val="Arial"/>
      <family val="2"/>
    </font>
    <font>
      <b/>
      <u/>
      <sz val="9"/>
      <color indexed="81"/>
      <name val="Tahoma"/>
      <family val="2"/>
    </font>
    <font>
      <b/>
      <u/>
      <sz val="8"/>
      <color indexed="81"/>
      <name val="Tahoma"/>
      <family val="2"/>
    </font>
    <font>
      <b/>
      <u/>
      <sz val="10"/>
      <color indexed="81"/>
      <name val="Arial"/>
      <family val="2"/>
    </font>
    <font>
      <sz val="9"/>
      <color indexed="81"/>
      <name val="Arial"/>
      <family val="2"/>
    </font>
    <font>
      <b/>
      <u/>
      <sz val="9"/>
      <color indexed="81"/>
      <name val="Arial"/>
      <family val="2"/>
    </font>
    <font>
      <b/>
      <sz val="8"/>
      <color indexed="81"/>
      <name val="Tahoma"/>
      <family val="2"/>
    </font>
    <font>
      <b/>
      <sz val="10"/>
      <color indexed="9"/>
      <name val="Arial"/>
      <family val="2"/>
    </font>
    <font>
      <sz val="14"/>
      <name val="Arial"/>
      <family val="2"/>
    </font>
    <font>
      <sz val="14"/>
      <color indexed="8"/>
      <name val="Garamond"/>
      <family val="1"/>
    </font>
    <font>
      <sz val="9"/>
      <color indexed="10"/>
      <name val="Arial"/>
      <family val="2"/>
    </font>
    <font>
      <b/>
      <sz val="9"/>
      <color indexed="18"/>
      <name val="Arial"/>
      <family val="2"/>
    </font>
    <font>
      <strike/>
      <sz val="10"/>
      <name val="Arial"/>
      <family val="2"/>
    </font>
    <font>
      <b/>
      <sz val="22"/>
      <name val="Arial"/>
      <family val="2"/>
    </font>
    <font>
      <u/>
      <sz val="10"/>
      <name val="Arial"/>
      <family val="2"/>
    </font>
    <font>
      <b/>
      <sz val="8"/>
      <color indexed="12"/>
      <name val="Tahoma"/>
      <family val="2"/>
    </font>
    <font>
      <b/>
      <sz val="11"/>
      <color indexed="9"/>
      <name val="Arial"/>
      <family val="2"/>
    </font>
    <font>
      <b/>
      <u/>
      <sz val="11"/>
      <color indexed="9"/>
      <name val="Arial"/>
      <family val="2"/>
    </font>
    <font>
      <sz val="14"/>
      <name val="Arial"/>
      <family val="2"/>
    </font>
    <font>
      <sz val="8"/>
      <name val="Arial"/>
      <family val="2"/>
    </font>
    <font>
      <b/>
      <sz val="8"/>
      <name val="Arial"/>
      <family val="2"/>
    </font>
    <font>
      <u/>
      <sz val="12"/>
      <color indexed="12"/>
      <name val="Arial"/>
      <family val="2"/>
    </font>
    <font>
      <sz val="10"/>
      <color indexed="9"/>
      <name val="Arial"/>
      <family val="2"/>
    </font>
    <font>
      <b/>
      <u/>
      <sz val="12"/>
      <color indexed="9"/>
      <name val="Arial"/>
      <family val="2"/>
    </font>
    <font>
      <sz val="20"/>
      <name val="Arial"/>
      <family val="2"/>
    </font>
    <font>
      <u/>
      <sz val="16"/>
      <color indexed="12"/>
      <name val="Arial"/>
      <family val="2"/>
    </font>
    <font>
      <b/>
      <sz val="16"/>
      <name val="Arial"/>
      <family val="2"/>
    </font>
    <font>
      <b/>
      <sz val="12"/>
      <color indexed="9"/>
      <name val="Arial"/>
      <family val="2"/>
    </font>
    <font>
      <b/>
      <sz val="16"/>
      <name val="Arial"/>
      <family val="2"/>
    </font>
    <font>
      <sz val="16"/>
      <color indexed="9"/>
      <name val="Arial"/>
      <family val="2"/>
    </font>
    <font>
      <sz val="16"/>
      <name val="Arial"/>
      <family val="2"/>
    </font>
    <font>
      <sz val="16"/>
      <name val="Arial"/>
      <family val="2"/>
    </font>
    <font>
      <sz val="10"/>
      <color indexed="18"/>
      <name val="Arial"/>
      <family val="2"/>
    </font>
    <font>
      <b/>
      <sz val="12"/>
      <color indexed="81"/>
      <name val="Tahoma"/>
      <family val="2"/>
    </font>
    <font>
      <sz val="12"/>
      <color indexed="81"/>
      <name val="Tahoma"/>
      <family val="2"/>
    </font>
    <font>
      <b/>
      <sz val="11"/>
      <name val="Arial"/>
      <family val="2"/>
    </font>
    <font>
      <b/>
      <sz val="9"/>
      <color indexed="81"/>
      <name val="Arial"/>
      <family val="2"/>
    </font>
    <font>
      <b/>
      <sz val="9"/>
      <color indexed="10"/>
      <name val="Arial"/>
      <family val="2"/>
    </font>
    <font>
      <sz val="11"/>
      <color indexed="8"/>
      <name val="Arial"/>
      <family val="2"/>
    </font>
    <font>
      <b/>
      <sz val="12"/>
      <color indexed="10"/>
      <name val="Arial"/>
      <family val="2"/>
    </font>
    <font>
      <sz val="12"/>
      <color indexed="8"/>
      <name val="Arial"/>
      <family val="2"/>
    </font>
    <font>
      <b/>
      <i/>
      <sz val="10"/>
      <color indexed="9"/>
      <name val="Arial"/>
      <family val="2"/>
    </font>
    <font>
      <u/>
      <sz val="10"/>
      <color indexed="9"/>
      <name val="Arial"/>
      <family val="2"/>
    </font>
    <font>
      <sz val="10"/>
      <color indexed="8"/>
      <name val="Arial"/>
      <family val="2"/>
    </font>
    <font>
      <b/>
      <u/>
      <sz val="20"/>
      <name val="Arial"/>
      <family val="2"/>
    </font>
    <font>
      <u/>
      <sz val="8"/>
      <name val="Arial"/>
      <family val="2"/>
    </font>
    <font>
      <sz val="12"/>
      <color indexed="10"/>
      <name val="Arial"/>
      <family val="2"/>
    </font>
    <font>
      <b/>
      <sz val="12"/>
      <color indexed="8"/>
      <name val="Arial"/>
      <family val="2"/>
    </font>
    <font>
      <b/>
      <u/>
      <sz val="16"/>
      <name val="Arial"/>
      <family val="2"/>
    </font>
    <font>
      <u/>
      <sz val="11"/>
      <name val="Arial"/>
      <family val="2"/>
    </font>
    <font>
      <b/>
      <sz val="12"/>
      <name val="Arial"/>
      <family val="2"/>
    </font>
    <font>
      <b/>
      <sz val="14"/>
      <color indexed="10"/>
      <name val="Arial"/>
      <family val="2"/>
    </font>
    <font>
      <i/>
      <sz val="10"/>
      <color indexed="12"/>
      <name val="Arial"/>
      <family val="2"/>
    </font>
    <font>
      <b/>
      <sz val="14"/>
      <color indexed="9"/>
      <name val="Arial"/>
      <family val="2"/>
    </font>
    <font>
      <sz val="10"/>
      <name val="Arial"/>
      <family val="2"/>
    </font>
    <font>
      <b/>
      <u/>
      <sz val="12"/>
      <color indexed="10"/>
      <name val="Arial"/>
      <family val="2"/>
    </font>
    <font>
      <b/>
      <u/>
      <sz val="14"/>
      <color indexed="13"/>
      <name val="Arial"/>
      <family val="2"/>
    </font>
    <font>
      <sz val="14"/>
      <color indexed="13"/>
      <name val="Arial"/>
      <family val="2"/>
    </font>
    <font>
      <b/>
      <sz val="16"/>
      <color indexed="13"/>
      <name val="Arial"/>
      <family val="2"/>
    </font>
    <font>
      <sz val="14"/>
      <name val="Garamond"/>
      <family val="1"/>
    </font>
  </fonts>
  <fills count="25">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51"/>
        <bgColor indexed="64"/>
      </patternFill>
    </fill>
    <fill>
      <patternFill patternType="solid">
        <fgColor indexed="13"/>
        <bgColor indexed="64"/>
      </patternFill>
    </fill>
    <fill>
      <patternFill patternType="solid">
        <fgColor indexed="40"/>
        <bgColor indexed="64"/>
      </patternFill>
    </fill>
    <fill>
      <patternFill patternType="solid">
        <fgColor indexed="46"/>
        <bgColor indexed="64"/>
      </patternFill>
    </fill>
    <fill>
      <patternFill patternType="solid">
        <fgColor indexed="10"/>
        <bgColor indexed="64"/>
      </patternFill>
    </fill>
    <fill>
      <patternFill patternType="solid">
        <fgColor indexed="26"/>
        <bgColor indexed="64"/>
      </patternFill>
    </fill>
    <fill>
      <patternFill patternType="solid">
        <fgColor indexed="41"/>
        <bgColor indexed="64"/>
      </patternFill>
    </fill>
    <fill>
      <patternFill patternType="solid">
        <fgColor indexed="15"/>
        <bgColor indexed="64"/>
      </patternFill>
    </fill>
    <fill>
      <patternFill patternType="solid">
        <fgColor indexed="52"/>
        <bgColor indexed="64"/>
      </patternFill>
    </fill>
    <fill>
      <patternFill patternType="solid">
        <fgColor indexed="23"/>
        <bgColor indexed="64"/>
      </patternFill>
    </fill>
    <fill>
      <patternFill patternType="solid">
        <fgColor indexed="14"/>
        <bgColor indexed="64"/>
      </patternFill>
    </fill>
    <fill>
      <patternFill patternType="solid">
        <fgColor indexed="11"/>
        <bgColor indexed="64"/>
      </patternFill>
    </fill>
    <fill>
      <patternFill patternType="solid">
        <fgColor indexed="48"/>
        <bgColor indexed="64"/>
      </patternFill>
    </fill>
    <fill>
      <patternFill patternType="solid">
        <fgColor indexed="50"/>
        <bgColor indexed="64"/>
      </patternFill>
    </fill>
    <fill>
      <patternFill patternType="solid">
        <fgColor indexed="12"/>
        <bgColor indexed="64"/>
      </patternFill>
    </fill>
    <fill>
      <patternFill patternType="solid">
        <fgColor indexed="9"/>
        <bgColor indexed="64"/>
      </patternFill>
    </fill>
    <fill>
      <patternFill patternType="solid">
        <fgColor indexed="45"/>
        <bgColor indexed="64"/>
      </patternFill>
    </fill>
    <fill>
      <patternFill patternType="solid">
        <fgColor indexed="55"/>
        <bgColor indexed="64"/>
      </patternFill>
    </fill>
  </fills>
  <borders count="86">
    <border>
      <left/>
      <right/>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double">
        <color indexed="64"/>
      </bottom>
      <diagonal/>
    </border>
    <border>
      <left/>
      <right style="medium">
        <color indexed="64"/>
      </right>
      <top/>
      <bottom style="double">
        <color indexed="64"/>
      </bottom>
      <diagonal/>
    </border>
  </borders>
  <cellStyleXfs count="3">
    <xf numFmtId="0" fontId="0" fillId="0" borderId="0"/>
    <xf numFmtId="0" fontId="5" fillId="0" borderId="0" applyNumberFormat="0" applyFill="0" applyBorder="0" applyAlignment="0" applyProtection="0">
      <alignment vertical="top"/>
      <protection locked="0"/>
    </xf>
    <xf numFmtId="0" fontId="105" fillId="0" borderId="0"/>
  </cellStyleXfs>
  <cellXfs count="2082">
    <xf numFmtId="0" fontId="0" fillId="0" borderId="0" xfId="0"/>
    <xf numFmtId="0" fontId="3" fillId="2" borderId="1" xfId="0" applyFont="1" applyFill="1" applyBorder="1" applyAlignment="1">
      <alignment vertical="top" wrapText="1"/>
    </xf>
    <xf numFmtId="0" fontId="4" fillId="0" borderId="2" xfId="0" applyFont="1" applyBorder="1" applyAlignment="1">
      <alignment vertical="top" wrapText="1"/>
    </xf>
    <xf numFmtId="0" fontId="6" fillId="2" borderId="3" xfId="0" applyFont="1" applyFill="1" applyBorder="1" applyAlignment="1">
      <alignment vertical="top" wrapText="1"/>
    </xf>
    <xf numFmtId="0" fontId="6" fillId="2" borderId="0" xfId="0" applyFont="1" applyFill="1" applyBorder="1" applyAlignment="1">
      <alignment vertical="top" wrapText="1"/>
    </xf>
    <xf numFmtId="0" fontId="6" fillId="2" borderId="4" xfId="0" applyFont="1" applyFill="1" applyBorder="1" applyAlignment="1">
      <alignment vertical="top" wrapText="1"/>
    </xf>
    <xf numFmtId="0" fontId="7" fillId="2" borderId="5" xfId="0" applyFont="1" applyFill="1" applyBorder="1" applyAlignment="1">
      <alignment vertical="top" wrapText="1"/>
    </xf>
    <xf numFmtId="0" fontId="6" fillId="2" borderId="0" xfId="0" applyFont="1" applyFill="1" applyBorder="1" applyAlignment="1">
      <alignment horizontal="left" vertical="top" wrapText="1"/>
    </xf>
    <xf numFmtId="0" fontId="6" fillId="2" borderId="6" xfId="0" applyFont="1" applyFill="1" applyBorder="1" applyAlignment="1">
      <alignment vertical="top" wrapText="1"/>
    </xf>
    <xf numFmtId="0" fontId="6" fillId="2" borderId="7" xfId="0" applyFont="1" applyFill="1" applyBorder="1" applyAlignment="1">
      <alignment vertical="top" wrapText="1"/>
    </xf>
    <xf numFmtId="0" fontId="0" fillId="0" borderId="0" xfId="0" applyAlignment="1">
      <alignment vertical="top" wrapText="1"/>
    </xf>
    <xf numFmtId="0" fontId="0" fillId="0" borderId="2" xfId="0" applyBorder="1" applyAlignment="1">
      <alignment vertical="top" wrapText="1"/>
    </xf>
    <xf numFmtId="0" fontId="4" fillId="0" borderId="0" xfId="0" applyFont="1" applyBorder="1" applyAlignment="1">
      <alignment vertical="top" wrapText="1"/>
    </xf>
    <xf numFmtId="0" fontId="4" fillId="0" borderId="8" xfId="0" applyFont="1" applyBorder="1" applyAlignment="1">
      <alignment vertical="top" wrapText="1"/>
    </xf>
    <xf numFmtId="0" fontId="4" fillId="0" borderId="9" xfId="0" applyFont="1" applyBorder="1" applyAlignment="1">
      <alignment vertical="top" wrapText="1"/>
    </xf>
    <xf numFmtId="0" fontId="9" fillId="0" borderId="0" xfId="0" applyFont="1" applyBorder="1" applyAlignment="1">
      <alignment horizontal="left" vertical="top" wrapText="1"/>
    </xf>
    <xf numFmtId="0" fontId="0" fillId="0" borderId="8" xfId="0" applyBorder="1" applyAlignment="1">
      <alignment vertical="top" wrapText="1"/>
    </xf>
    <xf numFmtId="0" fontId="0" fillId="3" borderId="8" xfId="0" applyFill="1" applyBorder="1" applyAlignment="1">
      <alignment vertical="top" wrapText="1"/>
    </xf>
    <xf numFmtId="0" fontId="0" fillId="3" borderId="2" xfId="0" applyFill="1" applyBorder="1" applyAlignment="1">
      <alignment vertical="top" wrapText="1"/>
    </xf>
    <xf numFmtId="0" fontId="0" fillId="0" borderId="9" xfId="0" applyBorder="1" applyAlignment="1">
      <alignment vertical="top" wrapText="1"/>
    </xf>
    <xf numFmtId="0" fontId="0" fillId="3" borderId="9" xfId="0" applyFill="1" applyBorder="1" applyAlignment="1">
      <alignment vertical="top" wrapText="1"/>
    </xf>
    <xf numFmtId="0" fontId="3" fillId="2" borderId="10" xfId="0" applyNumberFormat="1" applyFont="1" applyFill="1" applyBorder="1" applyAlignment="1">
      <alignment vertical="top" wrapText="1"/>
    </xf>
    <xf numFmtId="0" fontId="3" fillId="2" borderId="11" xfId="0" applyNumberFormat="1" applyFont="1" applyFill="1" applyBorder="1" applyAlignment="1">
      <alignment vertical="top" wrapText="1"/>
    </xf>
    <xf numFmtId="0" fontId="0" fillId="0" borderId="0" xfId="0" applyNumberFormat="1" applyBorder="1" applyAlignment="1">
      <alignment vertical="top" wrapText="1"/>
    </xf>
    <xf numFmtId="0" fontId="0" fillId="3" borderId="12" xfId="0" applyNumberFormat="1" applyFill="1" applyBorder="1" applyAlignment="1">
      <alignment vertical="top" wrapText="1"/>
    </xf>
    <xf numFmtId="0" fontId="0" fillId="4" borderId="13" xfId="0" applyNumberFormat="1" applyFill="1" applyBorder="1" applyAlignment="1">
      <alignment vertical="top" wrapText="1"/>
    </xf>
    <xf numFmtId="0" fontId="0" fillId="5" borderId="14" xfId="0" applyNumberFormat="1" applyFill="1" applyBorder="1" applyAlignment="1">
      <alignment vertical="top" wrapText="1"/>
    </xf>
    <xf numFmtId="0" fontId="0" fillId="2" borderId="5" xfId="0" applyNumberFormat="1" applyFill="1" applyBorder="1" applyAlignment="1">
      <alignment vertical="top" wrapText="1"/>
    </xf>
    <xf numFmtId="0" fontId="0" fillId="3" borderId="15" xfId="0" applyNumberFormat="1" applyFill="1" applyBorder="1" applyAlignment="1">
      <alignment vertical="top" wrapText="1"/>
    </xf>
    <xf numFmtId="0" fontId="0" fillId="4" borderId="2" xfId="0" applyNumberFormat="1" applyFill="1" applyBorder="1" applyAlignment="1">
      <alignment vertical="top" wrapText="1"/>
    </xf>
    <xf numFmtId="0" fontId="0" fillId="5" borderId="16" xfId="0" applyNumberFormat="1" applyFill="1" applyBorder="1" applyAlignment="1">
      <alignment vertical="top" wrapText="1"/>
    </xf>
    <xf numFmtId="0" fontId="0" fillId="3" borderId="2" xfId="0" applyNumberFormat="1" applyFill="1" applyBorder="1" applyAlignment="1">
      <alignment vertical="top" wrapText="1"/>
    </xf>
    <xf numFmtId="0" fontId="0" fillId="2" borderId="16" xfId="0" applyNumberFormat="1" applyFill="1" applyBorder="1" applyAlignment="1">
      <alignment vertical="top" wrapText="1"/>
    </xf>
    <xf numFmtId="0" fontId="0" fillId="3" borderId="9" xfId="0" applyNumberFormat="1" applyFill="1" applyBorder="1" applyAlignment="1">
      <alignment vertical="top" wrapText="1"/>
    </xf>
    <xf numFmtId="0" fontId="0" fillId="4" borderId="9" xfId="0" applyNumberFormat="1" applyFill="1" applyBorder="1" applyAlignment="1">
      <alignment vertical="top" wrapText="1"/>
    </xf>
    <xf numFmtId="0" fontId="0" fillId="2" borderId="17" xfId="0" applyNumberFormat="1" applyFill="1" applyBorder="1" applyAlignment="1">
      <alignment vertical="top" wrapText="1"/>
    </xf>
    <xf numFmtId="0" fontId="3" fillId="2" borderId="2" xfId="0" applyFont="1" applyFill="1" applyBorder="1" applyAlignment="1">
      <alignment vertical="top"/>
    </xf>
    <xf numFmtId="0" fontId="0" fillId="0" borderId="0" xfId="0" applyAlignment="1">
      <alignment vertical="top"/>
    </xf>
    <xf numFmtId="0" fontId="0" fillId="0" borderId="13" xfId="0" applyBorder="1" applyAlignment="1">
      <alignment vertical="top" wrapText="1"/>
    </xf>
    <xf numFmtId="0" fontId="0" fillId="3" borderId="13" xfId="0" applyFill="1" applyBorder="1" applyAlignment="1">
      <alignment vertical="top"/>
    </xf>
    <xf numFmtId="0" fontId="0" fillId="2" borderId="18" xfId="0" applyFill="1" applyBorder="1" applyAlignment="1">
      <alignment vertical="top"/>
    </xf>
    <xf numFmtId="0" fontId="0" fillId="3" borderId="2" xfId="0" applyFill="1" applyBorder="1" applyAlignment="1">
      <alignment vertical="top"/>
    </xf>
    <xf numFmtId="0" fontId="0" fillId="0" borderId="19" xfId="0" applyBorder="1" applyAlignment="1">
      <alignment vertical="top" wrapText="1"/>
    </xf>
    <xf numFmtId="0" fontId="0" fillId="3" borderId="19" xfId="0" applyFill="1" applyBorder="1" applyAlignment="1">
      <alignment vertical="top"/>
    </xf>
    <xf numFmtId="0" fontId="3" fillId="4" borderId="2" xfId="0" applyFont="1" applyFill="1" applyBorder="1" applyAlignment="1">
      <alignment horizontal="center" vertical="top"/>
    </xf>
    <xf numFmtId="0" fontId="3" fillId="2" borderId="20" xfId="0" applyFont="1" applyFill="1" applyBorder="1" applyAlignment="1">
      <alignment vertical="top" wrapText="1"/>
    </xf>
    <xf numFmtId="0" fontId="3" fillId="2" borderId="21" xfId="0" applyFont="1" applyFill="1" applyBorder="1" applyAlignment="1">
      <alignment vertical="top" wrapText="1"/>
    </xf>
    <xf numFmtId="0" fontId="0" fillId="3" borderId="13" xfId="0" applyFill="1" applyBorder="1" applyAlignment="1">
      <alignment vertical="top" wrapText="1"/>
    </xf>
    <xf numFmtId="0" fontId="0" fillId="4" borderId="13" xfId="0" applyFill="1" applyBorder="1" applyAlignment="1">
      <alignment vertical="top" wrapText="1"/>
    </xf>
    <xf numFmtId="0" fontId="0" fillId="6" borderId="13" xfId="0" applyFill="1" applyBorder="1" applyAlignment="1">
      <alignment vertical="top" wrapText="1"/>
    </xf>
    <xf numFmtId="0" fontId="0" fillId="5" borderId="13" xfId="0" applyFill="1" applyBorder="1" applyAlignment="1">
      <alignment vertical="top" wrapText="1"/>
    </xf>
    <xf numFmtId="0" fontId="0" fillId="2" borderId="5" xfId="0" applyFill="1" applyBorder="1" applyAlignment="1">
      <alignment vertical="top"/>
    </xf>
    <xf numFmtId="0" fontId="0" fillId="0" borderId="22" xfId="0" applyBorder="1" applyAlignment="1">
      <alignment vertical="top" wrapText="1"/>
    </xf>
    <xf numFmtId="0" fontId="0" fillId="4" borderId="2" xfId="0" applyFill="1" applyBorder="1" applyAlignment="1">
      <alignment vertical="top" wrapText="1"/>
    </xf>
    <xf numFmtId="0" fontId="0" fillId="6" borderId="2" xfId="0" applyFill="1" applyBorder="1" applyAlignment="1">
      <alignment vertical="top" wrapText="1"/>
    </xf>
    <xf numFmtId="0" fontId="0" fillId="5" borderId="2" xfId="0" applyFill="1" applyBorder="1" applyAlignment="1">
      <alignment vertical="top" wrapText="1"/>
    </xf>
    <xf numFmtId="0" fontId="0" fillId="2" borderId="23" xfId="0" applyFill="1" applyBorder="1" applyAlignment="1">
      <alignment vertical="top" wrapText="1"/>
    </xf>
    <xf numFmtId="0" fontId="0" fillId="2" borderId="0" xfId="0" applyFill="1" applyBorder="1" applyAlignment="1">
      <alignment vertical="top" wrapText="1"/>
    </xf>
    <xf numFmtId="0" fontId="0" fillId="4" borderId="9" xfId="0" applyFill="1" applyBorder="1" applyAlignment="1">
      <alignment vertical="top" wrapText="1"/>
    </xf>
    <xf numFmtId="0" fontId="0" fillId="2" borderId="7" xfId="0" applyFill="1" applyBorder="1" applyAlignment="1">
      <alignment vertical="top" wrapText="1"/>
    </xf>
    <xf numFmtId="0" fontId="0" fillId="2" borderId="17" xfId="0" applyFill="1" applyBorder="1" applyAlignment="1">
      <alignment vertical="top"/>
    </xf>
    <xf numFmtId="0" fontId="0" fillId="4" borderId="8" xfId="0" applyFill="1" applyBorder="1" applyAlignment="1">
      <alignment vertical="top" wrapText="1"/>
    </xf>
    <xf numFmtId="0" fontId="0" fillId="6" borderId="8" xfId="0" applyFill="1" applyBorder="1" applyAlignment="1">
      <alignment vertical="top" wrapText="1"/>
    </xf>
    <xf numFmtId="0" fontId="0" fillId="5" borderId="8" xfId="0" applyFill="1" applyBorder="1" applyAlignment="1">
      <alignment vertical="top" wrapText="1"/>
    </xf>
    <xf numFmtId="0" fontId="0" fillId="0" borderId="2" xfId="0" applyBorder="1" applyAlignment="1">
      <alignment vertical="top"/>
    </xf>
    <xf numFmtId="0" fontId="0" fillId="3" borderId="18" xfId="0" applyFill="1" applyBorder="1" applyAlignment="1">
      <alignment vertical="top"/>
    </xf>
    <xf numFmtId="0" fontId="0" fillId="4" borderId="13" xfId="0" applyFill="1" applyBorder="1" applyAlignment="1">
      <alignment vertical="top"/>
    </xf>
    <xf numFmtId="0" fontId="0" fillId="6" borderId="2" xfId="0" applyFill="1" applyBorder="1" applyAlignment="1">
      <alignment vertical="top"/>
    </xf>
    <xf numFmtId="0" fontId="0" fillId="5" borderId="13" xfId="0" applyFill="1" applyBorder="1" applyAlignment="1">
      <alignment vertical="top"/>
    </xf>
    <xf numFmtId="0" fontId="0" fillId="0" borderId="19" xfId="0" applyBorder="1" applyAlignment="1">
      <alignment vertical="top"/>
    </xf>
    <xf numFmtId="0" fontId="0" fillId="0" borderId="24" xfId="0" applyFill="1" applyBorder="1" applyAlignment="1">
      <alignment vertical="top"/>
    </xf>
    <xf numFmtId="0" fontId="0" fillId="2" borderId="0" xfId="0" applyFill="1" applyBorder="1" applyAlignment="1">
      <alignment vertical="top"/>
    </xf>
    <xf numFmtId="0" fontId="0" fillId="3" borderId="25" xfId="0" applyFill="1" applyBorder="1" applyAlignment="1">
      <alignment vertical="top"/>
    </xf>
    <xf numFmtId="0" fontId="0" fillId="4" borderId="9" xfId="0" applyFill="1" applyBorder="1" applyAlignment="1">
      <alignment vertical="top"/>
    </xf>
    <xf numFmtId="0" fontId="0" fillId="2" borderId="7" xfId="0" applyFill="1" applyBorder="1" applyAlignment="1">
      <alignment vertical="top"/>
    </xf>
    <xf numFmtId="0" fontId="0" fillId="3" borderId="11" xfId="0" applyFill="1" applyBorder="1" applyAlignment="1">
      <alignment vertical="top"/>
    </xf>
    <xf numFmtId="0" fontId="0" fillId="4" borderId="11" xfId="0" applyFill="1" applyBorder="1" applyAlignment="1">
      <alignment vertical="top" wrapText="1"/>
    </xf>
    <xf numFmtId="0" fontId="0" fillId="6" borderId="11" xfId="0" applyFill="1" applyBorder="1" applyAlignment="1">
      <alignment vertical="top" wrapText="1"/>
    </xf>
    <xf numFmtId="0" fontId="0" fillId="5" borderId="11" xfId="0" applyFill="1" applyBorder="1" applyAlignment="1">
      <alignment vertical="top" wrapText="1"/>
    </xf>
    <xf numFmtId="0" fontId="0" fillId="2" borderId="26" xfId="0" applyFill="1" applyBorder="1" applyAlignment="1">
      <alignment vertical="top"/>
    </xf>
    <xf numFmtId="0" fontId="3" fillId="2" borderId="0" xfId="0" applyFont="1" applyFill="1" applyBorder="1" applyAlignment="1">
      <alignment vertical="top"/>
    </xf>
    <xf numFmtId="0" fontId="3" fillId="2" borderId="3" xfId="0" applyFont="1" applyFill="1" applyBorder="1" applyAlignment="1">
      <alignment vertical="top" wrapText="1"/>
    </xf>
    <xf numFmtId="0" fontId="3" fillId="0" borderId="0" xfId="0" applyFont="1" applyFill="1" applyBorder="1" applyAlignment="1">
      <alignment horizontal="center" vertical="top" wrapText="1"/>
    </xf>
    <xf numFmtId="0" fontId="0" fillId="7" borderId="16" xfId="0" applyFill="1" applyBorder="1" applyAlignment="1">
      <alignment vertical="top" wrapText="1"/>
    </xf>
    <xf numFmtId="0" fontId="0" fillId="0" borderId="0" xfId="0" applyFill="1" applyAlignment="1">
      <alignment vertical="top"/>
    </xf>
    <xf numFmtId="0" fontId="0" fillId="2" borderId="27" xfId="0" applyFill="1" applyBorder="1" applyAlignment="1">
      <alignment vertical="top" wrapText="1"/>
    </xf>
    <xf numFmtId="0" fontId="0" fillId="3" borderId="11" xfId="0" applyFill="1" applyBorder="1" applyAlignment="1">
      <alignment vertical="top" wrapText="1"/>
    </xf>
    <xf numFmtId="0" fontId="0" fillId="2" borderId="28" xfId="0" applyFill="1" applyBorder="1" applyAlignment="1">
      <alignment vertical="top" wrapText="1"/>
    </xf>
    <xf numFmtId="0" fontId="0" fillId="7" borderId="29" xfId="0" applyFill="1" applyBorder="1" applyAlignment="1">
      <alignment vertical="top" wrapText="1"/>
    </xf>
    <xf numFmtId="0" fontId="0" fillId="4" borderId="30" xfId="0" applyFill="1" applyBorder="1" applyAlignment="1">
      <alignment vertical="top" wrapText="1"/>
    </xf>
    <xf numFmtId="0" fontId="0" fillId="2" borderId="31" xfId="0" applyFill="1" applyBorder="1" applyAlignment="1">
      <alignment vertical="top" wrapText="1"/>
    </xf>
    <xf numFmtId="0" fontId="0" fillId="2" borderId="32" xfId="0" applyFill="1" applyBorder="1" applyAlignment="1">
      <alignment vertical="top" wrapText="1"/>
    </xf>
    <xf numFmtId="0" fontId="0" fillId="2" borderId="14" xfId="0" applyFill="1" applyBorder="1" applyAlignment="1">
      <alignment vertical="top" wrapText="1"/>
    </xf>
    <xf numFmtId="0" fontId="0" fillId="7" borderId="32" xfId="0" applyFill="1" applyBorder="1" applyAlignment="1">
      <alignment vertical="top" wrapText="1"/>
    </xf>
    <xf numFmtId="0" fontId="0" fillId="4" borderId="33" xfId="0" applyFill="1" applyBorder="1" applyAlignment="1">
      <alignment vertical="top" wrapText="1"/>
    </xf>
    <xf numFmtId="0" fontId="0" fillId="2" borderId="34" xfId="0" applyFill="1" applyBorder="1" applyAlignment="1">
      <alignment vertical="top" wrapText="1"/>
    </xf>
    <xf numFmtId="0" fontId="3" fillId="2" borderId="10" xfId="0" applyFont="1" applyFill="1" applyBorder="1" applyAlignment="1">
      <alignment vertical="top" wrapText="1"/>
    </xf>
    <xf numFmtId="0" fontId="3" fillId="2" borderId="11" xfId="0" applyFont="1" applyFill="1" applyBorder="1" applyAlignment="1">
      <alignment vertical="top" wrapText="1"/>
    </xf>
    <xf numFmtId="0" fontId="3" fillId="2" borderId="11" xfId="0" applyFont="1" applyFill="1" applyBorder="1" applyAlignment="1">
      <alignment horizontal="center" vertical="top" wrapText="1"/>
    </xf>
    <xf numFmtId="0" fontId="0" fillId="0" borderId="13" xfId="0" applyBorder="1" applyAlignment="1">
      <alignment vertical="top"/>
    </xf>
    <xf numFmtId="0" fontId="4" fillId="3" borderId="13" xfId="0" applyFont="1" applyFill="1" applyBorder="1" applyAlignment="1">
      <alignment vertical="top" wrapText="1"/>
    </xf>
    <xf numFmtId="0" fontId="0" fillId="4" borderId="14" xfId="0" applyFill="1" applyBorder="1" applyAlignment="1">
      <alignment vertical="top"/>
    </xf>
    <xf numFmtId="0" fontId="4" fillId="3" borderId="2" xfId="0" applyFont="1" applyFill="1" applyBorder="1" applyAlignment="1">
      <alignment vertical="top" wrapText="1"/>
    </xf>
    <xf numFmtId="0" fontId="0" fillId="4" borderId="16" xfId="0" applyFill="1" applyBorder="1" applyAlignment="1">
      <alignment vertical="top"/>
    </xf>
    <xf numFmtId="0" fontId="4" fillId="3" borderId="9" xfId="0" applyFont="1" applyFill="1" applyBorder="1" applyAlignment="1">
      <alignment vertical="top" wrapText="1"/>
    </xf>
    <xf numFmtId="0" fontId="0" fillId="4" borderId="27" xfId="0" applyFill="1" applyBorder="1" applyAlignment="1">
      <alignment vertical="top"/>
    </xf>
    <xf numFmtId="0" fontId="0" fillId="0" borderId="35" xfId="0" applyBorder="1"/>
    <xf numFmtId="0" fontId="3" fillId="2" borderId="28" xfId="0" applyFont="1" applyFill="1" applyBorder="1" applyAlignment="1">
      <alignment vertical="top" wrapText="1"/>
    </xf>
    <xf numFmtId="0" fontId="3" fillId="2" borderId="10" xfId="0" applyFont="1" applyFill="1" applyBorder="1" applyAlignment="1">
      <alignment horizontal="center" vertical="top" wrapText="1"/>
    </xf>
    <xf numFmtId="0" fontId="0" fillId="0" borderId="0" xfId="0" applyFill="1" applyAlignment="1">
      <alignment vertical="top" wrapText="1"/>
    </xf>
    <xf numFmtId="0" fontId="0" fillId="0" borderId="0" xfId="0" applyAlignment="1">
      <alignment horizontal="left" vertical="top"/>
    </xf>
    <xf numFmtId="0" fontId="4" fillId="0" borderId="22" xfId="0" applyFont="1" applyBorder="1" applyAlignment="1">
      <alignment horizontal="right" vertical="top" wrapText="1"/>
    </xf>
    <xf numFmtId="0" fontId="4" fillId="0" borderId="36" xfId="0" applyFont="1" applyBorder="1" applyAlignment="1">
      <alignment horizontal="right" vertical="top" wrapText="1"/>
    </xf>
    <xf numFmtId="0" fontId="4" fillId="0" borderId="37" xfId="0" applyFont="1" applyBorder="1" applyAlignment="1">
      <alignment horizontal="right" vertical="top" wrapText="1"/>
    </xf>
    <xf numFmtId="0" fontId="0" fillId="0" borderId="0" xfId="0" applyBorder="1" applyAlignment="1">
      <alignment vertical="top" wrapText="1"/>
    </xf>
    <xf numFmtId="0" fontId="3" fillId="0" borderId="0" xfId="0" applyFont="1" applyFill="1" applyBorder="1" applyAlignment="1">
      <alignment vertical="top" wrapText="1"/>
    </xf>
    <xf numFmtId="0" fontId="0" fillId="0" borderId="0" xfId="0" applyFill="1" applyBorder="1" applyAlignment="1">
      <alignment vertical="top" wrapText="1"/>
    </xf>
    <xf numFmtId="0" fontId="3" fillId="0" borderId="0" xfId="0" applyFont="1" applyFill="1" applyBorder="1" applyAlignment="1">
      <alignment horizontal="left" vertical="top" wrapText="1"/>
    </xf>
    <xf numFmtId="0" fontId="0" fillId="0" borderId="0" xfId="0" applyFill="1" applyAlignment="1">
      <alignment horizontal="left" vertical="top"/>
    </xf>
    <xf numFmtId="0" fontId="4" fillId="0" borderId="0" xfId="0" applyFont="1" applyBorder="1" applyAlignment="1">
      <alignment horizontal="left" vertical="top" wrapText="1"/>
    </xf>
    <xf numFmtId="0" fontId="0" fillId="0" borderId="37" xfId="0" applyBorder="1" applyAlignment="1">
      <alignment vertical="top" wrapText="1"/>
    </xf>
    <xf numFmtId="0" fontId="0" fillId="8" borderId="24" xfId="0" applyFill="1" applyBorder="1" applyAlignment="1">
      <alignment vertical="top" wrapText="1"/>
    </xf>
    <xf numFmtId="0" fontId="4" fillId="0" borderId="0" xfId="0" applyFont="1" applyFill="1" applyBorder="1" applyAlignment="1">
      <alignment horizontal="center" vertical="top" wrapText="1"/>
    </xf>
    <xf numFmtId="0" fontId="4" fillId="0" borderId="0" xfId="0" applyFont="1" applyFill="1" applyBorder="1" applyAlignment="1">
      <alignment horizontal="right" vertical="top" wrapText="1"/>
    </xf>
    <xf numFmtId="0" fontId="0" fillId="3" borderId="38" xfId="0" applyFill="1" applyBorder="1" applyAlignment="1">
      <alignment vertical="top" wrapText="1"/>
    </xf>
    <xf numFmtId="0" fontId="0" fillId="3" borderId="16" xfId="0" applyFill="1" applyBorder="1" applyAlignment="1">
      <alignment vertical="top" wrapText="1"/>
    </xf>
    <xf numFmtId="0" fontId="0" fillId="3" borderId="28" xfId="0" applyFill="1" applyBorder="1" applyAlignment="1">
      <alignment vertical="top" wrapText="1"/>
    </xf>
    <xf numFmtId="0" fontId="12" fillId="0" borderId="0" xfId="0" applyFont="1" applyFill="1" applyAlignment="1">
      <alignment vertical="top" wrapText="1"/>
    </xf>
    <xf numFmtId="0" fontId="0" fillId="3" borderId="16" xfId="0" quotePrefix="1" applyFill="1" applyBorder="1" applyAlignment="1">
      <alignment vertical="top" wrapText="1"/>
    </xf>
    <xf numFmtId="1" fontId="3" fillId="8" borderId="24" xfId="0" applyNumberFormat="1" applyFont="1" applyFill="1" applyBorder="1" applyAlignment="1">
      <alignment vertical="top" wrapText="1"/>
    </xf>
    <xf numFmtId="4" fontId="3" fillId="8" borderId="24" xfId="0" applyNumberFormat="1" applyFont="1" applyFill="1" applyBorder="1" applyAlignment="1">
      <alignment vertical="top" wrapText="1"/>
    </xf>
    <xf numFmtId="1" fontId="12" fillId="0" borderId="0" xfId="0" applyNumberFormat="1" applyFont="1" applyFill="1" applyAlignment="1">
      <alignment vertical="top" wrapText="1"/>
    </xf>
    <xf numFmtId="0" fontId="0" fillId="0" borderId="26" xfId="0" applyBorder="1" applyAlignment="1">
      <alignment vertical="top" wrapText="1"/>
    </xf>
    <xf numFmtId="0" fontId="0" fillId="4" borderId="26" xfId="0" applyFill="1" applyBorder="1" applyAlignment="1">
      <alignment vertical="top" wrapText="1"/>
    </xf>
    <xf numFmtId="0" fontId="3" fillId="4" borderId="26" xfId="0" applyFont="1" applyFill="1" applyBorder="1" applyAlignment="1">
      <alignment vertical="top" wrapText="1"/>
    </xf>
    <xf numFmtId="0" fontId="13" fillId="4" borderId="26" xfId="0" applyFont="1" applyFill="1" applyBorder="1" applyAlignment="1">
      <alignment vertical="top" wrapText="1"/>
    </xf>
    <xf numFmtId="0" fontId="4" fillId="0" borderId="0" xfId="0" applyFont="1" applyFill="1" applyAlignment="1">
      <alignment vertical="top" wrapText="1"/>
    </xf>
    <xf numFmtId="0" fontId="4" fillId="0" borderId="0" xfId="0" applyFont="1" applyAlignment="1">
      <alignment vertical="top" wrapText="1"/>
    </xf>
    <xf numFmtId="0" fontId="0" fillId="0" borderId="18" xfId="0" applyBorder="1" applyAlignment="1">
      <alignment vertical="top"/>
    </xf>
    <xf numFmtId="1" fontId="0" fillId="0" borderId="2" xfId="0" applyNumberFormat="1" applyBorder="1" applyAlignment="1">
      <alignment vertical="top"/>
    </xf>
    <xf numFmtId="4" fontId="0" fillId="0" borderId="2" xfId="0" applyNumberFormat="1" applyBorder="1" applyAlignment="1">
      <alignment vertical="top"/>
    </xf>
    <xf numFmtId="0" fontId="0" fillId="9" borderId="10" xfId="0" applyFill="1" applyBorder="1" applyAlignment="1">
      <alignment vertical="top"/>
    </xf>
    <xf numFmtId="0" fontId="0" fillId="9" borderId="11" xfId="0" applyFill="1" applyBorder="1" applyAlignment="1">
      <alignment vertical="top"/>
    </xf>
    <xf numFmtId="0" fontId="0" fillId="9" borderId="28" xfId="0" applyFill="1" applyBorder="1" applyAlignment="1">
      <alignment vertical="top"/>
    </xf>
    <xf numFmtId="0" fontId="3" fillId="2" borderId="28" xfId="0" applyFont="1" applyFill="1" applyBorder="1" applyAlignment="1">
      <alignment horizontal="left" vertical="top" wrapText="1"/>
    </xf>
    <xf numFmtId="0" fontId="0" fillId="0" borderId="38" xfId="0" applyBorder="1" applyAlignment="1">
      <alignment horizontal="left" vertical="top" wrapText="1"/>
    </xf>
    <xf numFmtId="0" fontId="0" fillId="0" borderId="16" xfId="0" applyBorder="1" applyAlignment="1">
      <alignment horizontal="left" vertical="top" wrapText="1"/>
    </xf>
    <xf numFmtId="0" fontId="0" fillId="0" borderId="27" xfId="0" applyBorder="1" applyAlignment="1">
      <alignment horizontal="left" vertical="top" wrapText="1"/>
    </xf>
    <xf numFmtId="0" fontId="0" fillId="0" borderId="38" xfId="0" applyBorder="1" applyAlignment="1">
      <alignment vertical="top"/>
    </xf>
    <xf numFmtId="0" fontId="0" fillId="0" borderId="16" xfId="0" applyBorder="1" applyAlignment="1">
      <alignment vertical="top"/>
    </xf>
    <xf numFmtId="0" fontId="0" fillId="0" borderId="36" xfId="0" applyBorder="1" applyAlignment="1">
      <alignment vertical="top" wrapText="1"/>
    </xf>
    <xf numFmtId="0" fontId="0" fillId="0" borderId="27" xfId="0" applyBorder="1" applyAlignment="1">
      <alignment vertical="top"/>
    </xf>
    <xf numFmtId="0" fontId="0" fillId="0" borderId="37" xfId="0" applyBorder="1" applyAlignment="1">
      <alignment vertical="top"/>
    </xf>
    <xf numFmtId="0" fontId="0" fillId="0" borderId="38" xfId="0" applyFill="1" applyBorder="1" applyAlignment="1">
      <alignment horizontal="left" vertical="top" wrapText="1"/>
    </xf>
    <xf numFmtId="0" fontId="0" fillId="0" borderId="22" xfId="0" applyBorder="1" applyAlignment="1">
      <alignment vertical="top"/>
    </xf>
    <xf numFmtId="0" fontId="0" fillId="0" borderId="16" xfId="0" applyFill="1" applyBorder="1" applyAlignment="1">
      <alignment horizontal="left" vertical="top" wrapText="1"/>
    </xf>
    <xf numFmtId="0" fontId="0" fillId="0" borderId="36" xfId="0" applyBorder="1" applyAlignment="1">
      <alignment vertical="top"/>
    </xf>
    <xf numFmtId="0" fontId="0" fillId="0" borderId="27" xfId="0" applyFill="1" applyBorder="1" applyAlignment="1">
      <alignment horizontal="left" vertical="top" wrapText="1"/>
    </xf>
    <xf numFmtId="0" fontId="4" fillId="0" borderId="38"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27" xfId="0" applyFont="1" applyFill="1" applyBorder="1" applyAlignment="1">
      <alignment horizontal="left" vertical="top" wrapText="1"/>
    </xf>
    <xf numFmtId="2" fontId="3" fillId="8" borderId="24" xfId="0" applyNumberFormat="1" applyFont="1" applyFill="1" applyBorder="1" applyAlignment="1">
      <alignment vertical="top" wrapText="1"/>
    </xf>
    <xf numFmtId="2" fontId="0" fillId="0" borderId="0" xfId="0" applyNumberFormat="1" applyAlignment="1">
      <alignment vertical="top" wrapText="1"/>
    </xf>
    <xf numFmtId="0" fontId="14" fillId="3" borderId="2" xfId="0" applyFont="1" applyFill="1" applyBorder="1" applyAlignment="1">
      <alignment horizontal="left" vertical="top"/>
    </xf>
    <xf numFmtId="0" fontId="14" fillId="6" borderId="2" xfId="0" applyFont="1" applyFill="1" applyBorder="1" applyAlignment="1">
      <alignment horizontal="left" vertical="top"/>
    </xf>
    <xf numFmtId="0" fontId="14" fillId="10" borderId="30" xfId="0" applyFont="1" applyFill="1" applyBorder="1" applyAlignment="1">
      <alignment horizontal="left" vertical="top"/>
    </xf>
    <xf numFmtId="0" fontId="14" fillId="0" borderId="30" xfId="0" applyFont="1" applyFill="1" applyBorder="1" applyAlignment="1">
      <alignment horizontal="left" vertical="top"/>
    </xf>
    <xf numFmtId="0" fontId="14" fillId="8" borderId="2" xfId="0" applyFont="1" applyFill="1" applyBorder="1" applyAlignment="1">
      <alignment horizontal="left" vertical="top"/>
    </xf>
    <xf numFmtId="2" fontId="0" fillId="0" borderId="0" xfId="0" applyNumberFormat="1" applyBorder="1" applyAlignment="1">
      <alignment vertical="top" wrapText="1"/>
    </xf>
    <xf numFmtId="2" fontId="4" fillId="0" borderId="0" xfId="0" applyNumberFormat="1" applyFont="1" applyBorder="1" applyAlignment="1">
      <alignment vertical="top" wrapText="1"/>
    </xf>
    <xf numFmtId="0" fontId="10" fillId="0" borderId="0" xfId="0" applyFont="1" applyAlignment="1">
      <alignment vertical="top" wrapText="1"/>
    </xf>
    <xf numFmtId="0" fontId="17" fillId="0" borderId="2" xfId="0" applyFont="1" applyBorder="1" applyAlignment="1">
      <alignment vertical="top" wrapText="1"/>
    </xf>
    <xf numFmtId="0" fontId="17" fillId="0" borderId="0" xfId="0" applyFont="1" applyAlignment="1">
      <alignment vertical="top" wrapText="1"/>
    </xf>
    <xf numFmtId="0" fontId="17" fillId="0" borderId="0" xfId="0" applyFont="1" applyBorder="1" applyAlignment="1">
      <alignment vertical="top" wrapText="1"/>
    </xf>
    <xf numFmtId="2" fontId="17" fillId="0" borderId="2" xfId="0" applyNumberFormat="1" applyFont="1" applyBorder="1" applyAlignment="1">
      <alignment vertical="top" wrapText="1"/>
    </xf>
    <xf numFmtId="0" fontId="17" fillId="4" borderId="2" xfId="0" applyFont="1" applyFill="1" applyBorder="1" applyAlignment="1">
      <alignment vertical="top" wrapText="1"/>
    </xf>
    <xf numFmtId="0" fontId="6" fillId="2" borderId="0" xfId="0" applyFont="1" applyFill="1" applyBorder="1" applyAlignment="1">
      <alignment vertical="top"/>
    </xf>
    <xf numFmtId="0" fontId="7" fillId="2" borderId="5" xfId="0" applyFont="1" applyFill="1" applyBorder="1" applyAlignment="1">
      <alignment vertical="top"/>
    </xf>
    <xf numFmtId="0" fontId="0" fillId="2" borderId="0" xfId="0" applyFill="1"/>
    <xf numFmtId="0" fontId="3" fillId="8" borderId="24" xfId="0" applyFont="1" applyFill="1" applyBorder="1" applyAlignment="1">
      <alignment vertical="top" wrapText="1"/>
    </xf>
    <xf numFmtId="2" fontId="3" fillId="0" borderId="0" xfId="0" applyNumberFormat="1" applyFont="1" applyFill="1" applyBorder="1" applyAlignment="1">
      <alignment horizontal="left" vertical="top" wrapText="1"/>
    </xf>
    <xf numFmtId="2" fontId="3" fillId="8" borderId="24" xfId="0" applyNumberFormat="1" applyFont="1" applyFill="1" applyBorder="1" applyAlignment="1">
      <alignment horizontal="left" vertical="top" wrapText="1"/>
    </xf>
    <xf numFmtId="0" fontId="0" fillId="0" borderId="0" xfId="0" applyFill="1" applyBorder="1" applyAlignment="1">
      <alignment horizontal="left" vertical="top" wrapText="1"/>
    </xf>
    <xf numFmtId="1" fontId="0" fillId="0" borderId="13" xfId="0" applyNumberFormat="1" applyBorder="1" applyAlignment="1">
      <alignment vertical="top"/>
    </xf>
    <xf numFmtId="0" fontId="3" fillId="9" borderId="39" xfId="0" applyFont="1" applyFill="1" applyBorder="1" applyAlignment="1">
      <alignment vertical="top"/>
    </xf>
    <xf numFmtId="0" fontId="0" fillId="0" borderId="0" xfId="0" applyBorder="1" applyAlignment="1">
      <alignment vertical="top"/>
    </xf>
    <xf numFmtId="0" fontId="3" fillId="2" borderId="19" xfId="0" applyFont="1" applyFill="1" applyBorder="1" applyAlignment="1">
      <alignment vertical="top"/>
    </xf>
    <xf numFmtId="0" fontId="0" fillId="0" borderId="2" xfId="0" applyFill="1" applyBorder="1" applyAlignment="1">
      <alignment vertical="top" wrapText="1"/>
    </xf>
    <xf numFmtId="0" fontId="4" fillId="4" borderId="0" xfId="0" applyFont="1" applyFill="1" applyBorder="1" applyAlignment="1">
      <alignment horizontal="left" vertical="top" wrapText="1"/>
    </xf>
    <xf numFmtId="0" fontId="4" fillId="4" borderId="8" xfId="0" applyFont="1" applyFill="1" applyBorder="1" applyAlignment="1">
      <alignment horizontal="left" vertical="top"/>
    </xf>
    <xf numFmtId="0" fontId="4" fillId="4" borderId="2" xfId="0" applyFont="1" applyFill="1" applyBorder="1" applyAlignment="1">
      <alignment horizontal="left" vertical="top"/>
    </xf>
    <xf numFmtId="0" fontId="4" fillId="4" borderId="9" xfId="0" applyFont="1" applyFill="1" applyBorder="1" applyAlignment="1">
      <alignment horizontal="left" vertical="top"/>
    </xf>
    <xf numFmtId="0" fontId="3" fillId="2" borderId="40" xfId="0" applyFont="1" applyFill="1" applyBorder="1" applyAlignment="1">
      <alignment horizontal="left" vertical="top"/>
    </xf>
    <xf numFmtId="0" fontId="3" fillId="2" borderId="34" xfId="0" applyFont="1" applyFill="1" applyBorder="1" applyAlignment="1">
      <alignment horizontal="left" vertical="top" wrapText="1"/>
    </xf>
    <xf numFmtId="2" fontId="4" fillId="6" borderId="31" xfId="0" applyNumberFormat="1" applyFont="1" applyFill="1" applyBorder="1" applyAlignment="1">
      <alignment horizontal="left" vertical="top" wrapText="1"/>
    </xf>
    <xf numFmtId="0" fontId="3" fillId="6" borderId="27" xfId="0" applyFont="1" applyFill="1" applyBorder="1" applyAlignment="1">
      <alignment horizontal="left" vertical="top" wrapText="1"/>
    </xf>
    <xf numFmtId="0" fontId="4" fillId="10" borderId="38" xfId="0" applyFont="1" applyFill="1" applyBorder="1" applyAlignment="1">
      <alignment vertical="top" wrapText="1"/>
    </xf>
    <xf numFmtId="0" fontId="4" fillId="10" borderId="16" xfId="0" applyFont="1" applyFill="1" applyBorder="1" applyAlignment="1">
      <alignment vertical="top" wrapText="1"/>
    </xf>
    <xf numFmtId="0" fontId="4" fillId="10" borderId="27" xfId="0" applyFont="1" applyFill="1" applyBorder="1" applyAlignment="1">
      <alignment vertical="top" wrapText="1"/>
    </xf>
    <xf numFmtId="0" fontId="0" fillId="6" borderId="27" xfId="0" applyFill="1" applyBorder="1" applyAlignment="1">
      <alignment vertical="top" wrapText="1"/>
    </xf>
    <xf numFmtId="0" fontId="0" fillId="8" borderId="2" xfId="0" applyFill="1" applyBorder="1" applyAlignment="1">
      <alignment vertical="top" wrapText="1"/>
    </xf>
    <xf numFmtId="2" fontId="0" fillId="0" borderId="0" xfId="0" applyNumberFormat="1" applyFill="1" applyBorder="1" applyAlignment="1">
      <alignment vertical="top" wrapText="1"/>
    </xf>
    <xf numFmtId="0" fontId="0" fillId="0" borderId="18" xfId="0" applyBorder="1" applyAlignment="1">
      <alignment vertical="top" wrapText="1"/>
    </xf>
    <xf numFmtId="0" fontId="3" fillId="2" borderId="29" xfId="0" applyFont="1" applyFill="1" applyBorder="1" applyAlignment="1">
      <alignment horizontal="left" vertical="top" wrapText="1"/>
    </xf>
    <xf numFmtId="0" fontId="19" fillId="0" borderId="0" xfId="0" applyFont="1" applyAlignment="1">
      <alignment vertical="top" wrapText="1"/>
    </xf>
    <xf numFmtId="14" fontId="19" fillId="0" borderId="0" xfId="0" applyNumberFormat="1" applyFont="1" applyAlignment="1">
      <alignment vertical="top" wrapText="1"/>
    </xf>
    <xf numFmtId="0" fontId="19" fillId="0" borderId="2" xfId="0" applyFont="1" applyBorder="1" applyAlignment="1">
      <alignment vertical="top"/>
    </xf>
    <xf numFmtId="1" fontId="19" fillId="0" borderId="2" xfId="0" applyNumberFormat="1" applyFont="1" applyBorder="1" applyAlignment="1">
      <alignment vertical="top"/>
    </xf>
    <xf numFmtId="0" fontId="19" fillId="0" borderId="2" xfId="0" applyFont="1" applyBorder="1" applyAlignment="1">
      <alignment vertical="top" wrapText="1"/>
    </xf>
    <xf numFmtId="0" fontId="10" fillId="0" borderId="0" xfId="0" applyFont="1" applyBorder="1" applyAlignment="1">
      <alignment vertical="top" wrapText="1"/>
    </xf>
    <xf numFmtId="0" fontId="10" fillId="0" borderId="2" xfId="0" applyFont="1" applyBorder="1" applyAlignment="1">
      <alignment vertical="top" wrapText="1"/>
    </xf>
    <xf numFmtId="0" fontId="10" fillId="0" borderId="0" xfId="0" applyFont="1" applyFill="1" applyAlignment="1">
      <alignment vertical="top" wrapText="1"/>
    </xf>
    <xf numFmtId="0" fontId="17" fillId="0" borderId="2" xfId="0" applyFont="1" applyFill="1" applyBorder="1" applyAlignment="1">
      <alignment horizontal="left" vertical="top" wrapText="1"/>
    </xf>
    <xf numFmtId="0" fontId="17" fillId="11" borderId="0" xfId="0" applyFont="1" applyFill="1" applyAlignment="1">
      <alignment vertical="top" wrapText="1"/>
    </xf>
    <xf numFmtId="14" fontId="17" fillId="0" borderId="2" xfId="0" applyNumberFormat="1" applyFont="1" applyBorder="1" applyAlignment="1">
      <alignment vertical="top" wrapText="1"/>
    </xf>
    <xf numFmtId="1" fontId="17" fillId="0" borderId="2" xfId="0" applyNumberFormat="1" applyFont="1" applyBorder="1" applyAlignment="1">
      <alignment vertical="top" wrapText="1"/>
    </xf>
    <xf numFmtId="4" fontId="17" fillId="0" borderId="2" xfId="0" applyNumberFormat="1" applyFont="1" applyBorder="1" applyAlignment="1">
      <alignment vertical="top" wrapText="1"/>
    </xf>
    <xf numFmtId="0" fontId="17" fillId="11" borderId="0" xfId="0" applyFont="1" applyFill="1" applyBorder="1" applyAlignment="1">
      <alignment vertical="top" wrapText="1"/>
    </xf>
    <xf numFmtId="0" fontId="17" fillId="0" borderId="2" xfId="0" applyFont="1" applyFill="1" applyBorder="1" applyAlignment="1">
      <alignment vertical="top" wrapText="1"/>
    </xf>
    <xf numFmtId="0" fontId="22" fillId="11" borderId="0" xfId="0" applyFont="1" applyFill="1" applyAlignment="1">
      <alignment vertical="top" wrapText="1"/>
    </xf>
    <xf numFmtId="1" fontId="17" fillId="0" borderId="2" xfId="0" applyNumberFormat="1" applyFont="1" applyFill="1" applyBorder="1" applyAlignment="1">
      <alignment vertical="top" wrapText="1"/>
    </xf>
    <xf numFmtId="0" fontId="25" fillId="0" borderId="0" xfId="0" applyFont="1" applyFill="1" applyBorder="1" applyAlignment="1">
      <alignment wrapText="1"/>
    </xf>
    <xf numFmtId="0" fontId="10" fillId="0" borderId="0" xfId="0" applyFont="1" applyFill="1" applyBorder="1" applyAlignment="1">
      <alignment wrapText="1"/>
    </xf>
    <xf numFmtId="0" fontId="10" fillId="0" borderId="0" xfId="0" applyFont="1" applyFill="1" applyBorder="1" applyAlignment="1">
      <alignment horizontal="center" wrapText="1"/>
    </xf>
    <xf numFmtId="0" fontId="0" fillId="12" borderId="13" xfId="0" applyNumberFormat="1" applyFill="1" applyBorder="1" applyAlignment="1">
      <alignment vertical="top" wrapText="1"/>
    </xf>
    <xf numFmtId="0" fontId="0" fillId="12" borderId="2" xfId="0" applyNumberFormat="1" applyFill="1" applyBorder="1" applyAlignment="1">
      <alignment vertical="top" wrapText="1"/>
    </xf>
    <xf numFmtId="0" fontId="0" fillId="12" borderId="22" xfId="0" applyNumberFormat="1" applyFill="1" applyBorder="1" applyAlignment="1">
      <alignment vertical="top" wrapText="1"/>
    </xf>
    <xf numFmtId="0" fontId="4" fillId="12" borderId="2" xfId="0" applyNumberFormat="1" applyFont="1" applyFill="1" applyBorder="1" applyAlignment="1">
      <alignment vertical="top" wrapText="1"/>
    </xf>
    <xf numFmtId="0" fontId="0" fillId="12" borderId="9" xfId="0" applyNumberFormat="1" applyFill="1" applyBorder="1" applyAlignment="1">
      <alignment vertical="top" wrapText="1"/>
    </xf>
    <xf numFmtId="0" fontId="0" fillId="12" borderId="0" xfId="0" applyFill="1" applyAlignment="1">
      <alignment vertical="top"/>
    </xf>
    <xf numFmtId="0" fontId="0" fillId="12" borderId="13" xfId="0" applyFill="1" applyBorder="1" applyAlignment="1">
      <alignment vertical="top" wrapText="1"/>
    </xf>
    <xf numFmtId="0" fontId="0" fillId="12" borderId="2" xfId="0" applyFill="1" applyBorder="1" applyAlignment="1">
      <alignment vertical="top" wrapText="1"/>
    </xf>
    <xf numFmtId="0" fontId="0" fillId="12" borderId="19" xfId="0" applyFill="1" applyBorder="1" applyAlignment="1">
      <alignment vertical="top" wrapText="1"/>
    </xf>
    <xf numFmtId="0" fontId="0" fillId="12" borderId="13" xfId="0" applyFill="1" applyBorder="1" applyAlignment="1">
      <alignment horizontal="left" vertical="top" wrapText="1"/>
    </xf>
    <xf numFmtId="0" fontId="0" fillId="12" borderId="23" xfId="0" applyFill="1" applyBorder="1" applyAlignment="1">
      <alignment vertical="top" wrapText="1"/>
    </xf>
    <xf numFmtId="0" fontId="0" fillId="12" borderId="41" xfId="0" applyFill="1" applyBorder="1" applyAlignment="1">
      <alignment vertical="top"/>
    </xf>
    <xf numFmtId="0" fontId="0" fillId="2" borderId="2" xfId="0" applyFill="1" applyBorder="1" applyAlignment="1">
      <alignment vertical="top"/>
    </xf>
    <xf numFmtId="0" fontId="0" fillId="12" borderId="42" xfId="0" applyFill="1" applyBorder="1" applyAlignment="1">
      <alignment vertical="top" wrapText="1"/>
    </xf>
    <xf numFmtId="0" fontId="0" fillId="12" borderId="22" xfId="0" applyFill="1" applyBorder="1" applyAlignment="1">
      <alignment vertical="top" wrapText="1"/>
    </xf>
    <xf numFmtId="0" fontId="0" fillId="12" borderId="43" xfId="0" applyFill="1" applyBorder="1" applyAlignment="1">
      <alignment vertical="top" wrapText="1"/>
    </xf>
    <xf numFmtId="0" fontId="0" fillId="12" borderId="4" xfId="0" applyFill="1" applyBorder="1" applyAlignment="1">
      <alignment vertical="top" wrapText="1"/>
    </xf>
    <xf numFmtId="0" fontId="0" fillId="12" borderId="6" xfId="0" applyFill="1" applyBorder="1" applyAlignment="1">
      <alignment vertical="top" wrapText="1"/>
    </xf>
    <xf numFmtId="0" fontId="0" fillId="12" borderId="9" xfId="0" applyFill="1" applyBorder="1" applyAlignment="1">
      <alignment vertical="top" wrapText="1"/>
    </xf>
    <xf numFmtId="0" fontId="0" fillId="12" borderId="39" xfId="0" applyFill="1" applyBorder="1" applyAlignment="1">
      <alignment vertical="top"/>
    </xf>
    <xf numFmtId="0" fontId="0" fillId="12" borderId="8" xfId="0" applyFill="1" applyBorder="1" applyAlignment="1">
      <alignment vertical="top"/>
    </xf>
    <xf numFmtId="0" fontId="0" fillId="12" borderId="44" xfId="0" applyFill="1" applyBorder="1" applyAlignment="1">
      <alignment vertical="top"/>
    </xf>
    <xf numFmtId="0" fontId="0" fillId="12" borderId="2" xfId="0" applyFill="1" applyBorder="1" applyAlignment="1">
      <alignment vertical="top"/>
    </xf>
    <xf numFmtId="0" fontId="0" fillId="12" borderId="19" xfId="0" applyFill="1" applyBorder="1" applyAlignment="1">
      <alignment vertical="top"/>
    </xf>
    <xf numFmtId="0" fontId="0" fillId="12" borderId="45" xfId="0" applyFill="1" applyBorder="1" applyAlignment="1">
      <alignment vertical="top"/>
    </xf>
    <xf numFmtId="0" fontId="0" fillId="12" borderId="46" xfId="0" applyFill="1" applyBorder="1" applyAlignment="1">
      <alignment vertical="top"/>
    </xf>
    <xf numFmtId="0" fontId="0" fillId="12" borderId="9" xfId="0" applyFill="1" applyBorder="1" applyAlignment="1">
      <alignment vertical="top"/>
    </xf>
    <xf numFmtId="0" fontId="0" fillId="12" borderId="10" xfId="0" applyFill="1" applyBorder="1" applyAlignment="1">
      <alignment vertical="top" wrapText="1"/>
    </xf>
    <xf numFmtId="0" fontId="0" fillId="12" borderId="11" xfId="0" applyFill="1" applyBorder="1" applyAlignment="1">
      <alignment vertical="top"/>
    </xf>
    <xf numFmtId="0" fontId="0" fillId="12" borderId="47" xfId="0" applyFill="1" applyBorder="1" applyAlignment="1">
      <alignment vertical="top" wrapText="1"/>
    </xf>
    <xf numFmtId="0" fontId="0" fillId="12" borderId="46" xfId="0" applyFill="1" applyBorder="1" applyAlignment="1">
      <alignment vertical="top" wrapText="1"/>
    </xf>
    <xf numFmtId="0" fontId="0" fillId="12" borderId="11" xfId="0" applyFill="1" applyBorder="1" applyAlignment="1">
      <alignment vertical="top" wrapText="1"/>
    </xf>
    <xf numFmtId="0" fontId="0" fillId="12" borderId="39" xfId="0" applyFill="1" applyBorder="1" applyAlignment="1">
      <alignment vertical="top" wrapText="1"/>
    </xf>
    <xf numFmtId="0" fontId="0" fillId="12" borderId="8" xfId="0" applyFill="1" applyBorder="1" applyAlignment="1">
      <alignment vertical="top" wrapText="1"/>
    </xf>
    <xf numFmtId="0" fontId="0" fillId="12" borderId="13" xfId="0" applyFill="1" applyBorder="1" applyAlignment="1">
      <alignment vertical="top"/>
    </xf>
    <xf numFmtId="0" fontId="4" fillId="12" borderId="13" xfId="0" applyFont="1" applyFill="1" applyBorder="1" applyAlignment="1">
      <alignment vertical="top" wrapText="1"/>
    </xf>
    <xf numFmtId="0" fontId="4" fillId="12" borderId="2" xfId="0" applyFont="1" applyFill="1" applyBorder="1" applyAlignment="1">
      <alignment vertical="top" wrapText="1"/>
    </xf>
    <xf numFmtId="0" fontId="4" fillId="12" borderId="9" xfId="0" applyFont="1" applyFill="1" applyBorder="1" applyAlignment="1">
      <alignment vertical="top" wrapText="1"/>
    </xf>
    <xf numFmtId="0" fontId="3" fillId="12" borderId="2" xfId="0" applyFont="1" applyFill="1" applyBorder="1" applyAlignment="1">
      <alignment vertical="top"/>
    </xf>
    <xf numFmtId="0" fontId="3" fillId="12" borderId="18" xfId="0" applyFont="1" applyFill="1" applyBorder="1" applyAlignment="1">
      <alignment vertical="top"/>
    </xf>
    <xf numFmtId="0" fontId="3" fillId="12" borderId="1" xfId="0" applyFont="1" applyFill="1" applyBorder="1" applyAlignment="1">
      <alignment vertical="top"/>
    </xf>
    <xf numFmtId="0" fontId="3" fillId="12" borderId="4" xfId="0" applyFont="1" applyFill="1" applyBorder="1" applyAlignment="1">
      <alignment vertical="top"/>
    </xf>
    <xf numFmtId="2" fontId="3" fillId="12" borderId="16" xfId="0" applyNumberFormat="1" applyFont="1" applyFill="1" applyBorder="1" applyAlignment="1">
      <alignment vertical="top"/>
    </xf>
    <xf numFmtId="1" fontId="3" fillId="12" borderId="16" xfId="0" applyNumberFormat="1" applyFont="1" applyFill="1" applyBorder="1" applyAlignment="1">
      <alignment vertical="top"/>
    </xf>
    <xf numFmtId="0" fontId="3" fillId="12" borderId="6" xfId="0" applyFont="1" applyFill="1" applyBorder="1" applyAlignment="1">
      <alignment vertical="top"/>
    </xf>
    <xf numFmtId="2" fontId="3" fillId="12" borderId="27" xfId="0" applyNumberFormat="1" applyFont="1" applyFill="1" applyBorder="1" applyAlignment="1">
      <alignment vertical="top"/>
    </xf>
    <xf numFmtId="0" fontId="3" fillId="12" borderId="37" xfId="0" applyFont="1" applyFill="1" applyBorder="1" applyAlignment="1">
      <alignment vertical="top"/>
    </xf>
    <xf numFmtId="0" fontId="3" fillId="12" borderId="8" xfId="0" applyFont="1" applyFill="1" applyBorder="1" applyAlignment="1">
      <alignment vertical="top"/>
    </xf>
    <xf numFmtId="0" fontId="3" fillId="12" borderId="22" xfId="0" applyFont="1" applyFill="1" applyBorder="1" applyAlignment="1">
      <alignment vertical="top"/>
    </xf>
    <xf numFmtId="0" fontId="0" fillId="12" borderId="5" xfId="0" applyFill="1" applyBorder="1" applyAlignment="1">
      <alignment vertical="top"/>
    </xf>
    <xf numFmtId="0" fontId="3" fillId="12" borderId="36" xfId="0" applyFont="1" applyFill="1" applyBorder="1" applyAlignment="1">
      <alignment vertical="top"/>
    </xf>
    <xf numFmtId="0" fontId="3" fillId="12" borderId="9" xfId="0" applyFont="1" applyFill="1" applyBorder="1" applyAlignment="1">
      <alignment vertical="top"/>
    </xf>
    <xf numFmtId="0" fontId="0" fillId="7" borderId="38" xfId="0" applyFill="1" applyBorder="1" applyAlignment="1">
      <alignment vertical="top" wrapText="1"/>
    </xf>
    <xf numFmtId="0" fontId="8" fillId="6" borderId="2" xfId="0" applyFont="1" applyFill="1" applyBorder="1" applyAlignment="1" applyProtection="1">
      <alignment horizontal="center" vertical="center" wrapText="1"/>
    </xf>
    <xf numFmtId="0" fontId="4" fillId="0" borderId="0" xfId="0" applyFont="1" applyFill="1" applyBorder="1" applyAlignment="1">
      <alignment vertical="top" wrapText="1"/>
    </xf>
    <xf numFmtId="0" fontId="25" fillId="0" borderId="2" xfId="0" applyFont="1" applyFill="1" applyBorder="1" applyAlignment="1">
      <alignment wrapText="1"/>
    </xf>
    <xf numFmtId="0" fontId="10" fillId="0" borderId="2" xfId="0" applyFont="1" applyFill="1" applyBorder="1" applyAlignment="1">
      <alignment wrapText="1"/>
    </xf>
    <xf numFmtId="0" fontId="25" fillId="0" borderId="15" xfId="0" applyFont="1" applyFill="1" applyBorder="1" applyAlignment="1">
      <alignment wrapText="1"/>
    </xf>
    <xf numFmtId="0" fontId="10" fillId="0" borderId="15" xfId="0" applyFont="1" applyFill="1" applyBorder="1" applyAlignment="1">
      <alignment wrapText="1"/>
    </xf>
    <xf numFmtId="0" fontId="0" fillId="0" borderId="15" xfId="0" applyFill="1" applyBorder="1" applyAlignment="1">
      <alignment vertical="top" wrapText="1"/>
    </xf>
    <xf numFmtId="0" fontId="4" fillId="0" borderId="2" xfId="0" applyFont="1" applyFill="1" applyBorder="1" applyAlignment="1">
      <alignment vertical="top" wrapText="1"/>
    </xf>
    <xf numFmtId="0" fontId="10" fillId="0" borderId="15" xfId="0" applyNumberFormat="1" applyFont="1" applyFill="1" applyBorder="1" applyAlignment="1">
      <alignment vertical="top" wrapText="1"/>
    </xf>
    <xf numFmtId="0" fontId="3" fillId="2" borderId="39" xfId="0" applyFont="1" applyFill="1" applyBorder="1" applyAlignment="1">
      <alignment horizontal="center" vertical="top" wrapText="1"/>
    </xf>
    <xf numFmtId="0" fontId="3" fillId="2" borderId="48" xfId="0" applyFont="1" applyFill="1" applyBorder="1" applyAlignment="1">
      <alignment horizontal="center" vertical="top" wrapText="1"/>
    </xf>
    <xf numFmtId="0" fontId="3" fillId="4" borderId="24" xfId="0" applyFont="1" applyFill="1" applyBorder="1"/>
    <xf numFmtId="0" fontId="4" fillId="2" borderId="4" xfId="0" applyFont="1" applyFill="1" applyBorder="1" applyAlignment="1">
      <alignment vertical="top" wrapText="1"/>
    </xf>
    <xf numFmtId="0" fontId="4" fillId="2" borderId="6" xfId="0" applyFont="1" applyFill="1" applyBorder="1" applyAlignment="1">
      <alignment vertical="top"/>
    </xf>
    <xf numFmtId="0" fontId="4" fillId="2" borderId="7" xfId="0" applyFont="1" applyFill="1" applyBorder="1" applyAlignment="1">
      <alignment vertical="top"/>
    </xf>
    <xf numFmtId="0" fontId="4" fillId="2" borderId="17" xfId="0" applyFont="1" applyFill="1" applyBorder="1" applyAlignment="1">
      <alignment vertical="top"/>
    </xf>
    <xf numFmtId="0" fontId="0" fillId="2" borderId="0" xfId="0" applyFill="1" applyBorder="1"/>
    <xf numFmtId="0" fontId="0" fillId="2" borderId="4" xfId="0" applyFill="1" applyBorder="1"/>
    <xf numFmtId="0" fontId="0" fillId="2" borderId="5" xfId="0" applyFill="1" applyBorder="1"/>
    <xf numFmtId="0" fontId="0" fillId="2" borderId="7" xfId="0" applyFill="1" applyBorder="1"/>
    <xf numFmtId="0" fontId="6" fillId="0" borderId="2" xfId="0" applyFont="1" applyFill="1" applyBorder="1" applyAlignment="1">
      <alignment vertical="top" wrapText="1"/>
    </xf>
    <xf numFmtId="0" fontId="4" fillId="0" borderId="22" xfId="0" applyFont="1" applyFill="1" applyBorder="1" applyAlignment="1">
      <alignment vertical="top" wrapText="1"/>
    </xf>
    <xf numFmtId="0" fontId="4" fillId="0" borderId="36" xfId="0" applyFont="1" applyFill="1" applyBorder="1" applyAlignment="1">
      <alignment vertical="top" wrapText="1"/>
    </xf>
    <xf numFmtId="0" fontId="4" fillId="0" borderId="21" xfId="0" applyFont="1" applyFill="1" applyBorder="1" applyAlignment="1">
      <alignment vertical="top" wrapText="1"/>
    </xf>
    <xf numFmtId="0" fontId="3" fillId="0" borderId="20" xfId="0" applyFont="1" applyFill="1" applyBorder="1" applyAlignment="1">
      <alignment vertical="top" wrapText="1"/>
    </xf>
    <xf numFmtId="0" fontId="4" fillId="0" borderId="26" xfId="0" applyFont="1" applyFill="1" applyBorder="1" applyAlignment="1">
      <alignment vertical="top" wrapText="1"/>
    </xf>
    <xf numFmtId="0" fontId="0" fillId="2" borderId="0" xfId="0" applyFill="1" applyAlignment="1">
      <alignment vertical="top"/>
    </xf>
    <xf numFmtId="0" fontId="0" fillId="0" borderId="49" xfId="0" applyFill="1" applyBorder="1"/>
    <xf numFmtId="0" fontId="3" fillId="2" borderId="0" xfId="0" applyFont="1" applyFill="1"/>
    <xf numFmtId="0" fontId="28" fillId="2" borderId="0" xfId="0" applyFont="1" applyFill="1"/>
    <xf numFmtId="1" fontId="0" fillId="13" borderId="50" xfId="0" applyNumberFormat="1" applyFill="1" applyBorder="1" applyAlignment="1" applyProtection="1">
      <alignment horizontal="right" vertical="center" wrapText="1"/>
    </xf>
    <xf numFmtId="0" fontId="0" fillId="13" borderId="50" xfId="0" applyFill="1" applyBorder="1" applyAlignment="1" applyProtection="1">
      <alignment horizontal="right" vertical="center" wrapText="1"/>
    </xf>
    <xf numFmtId="0" fontId="0" fillId="13" borderId="51" xfId="0" applyFill="1" applyBorder="1" applyAlignment="1" applyProtection="1">
      <alignment horizontal="right" vertical="center" wrapText="1"/>
    </xf>
    <xf numFmtId="0" fontId="0" fillId="13" borderId="52" xfId="0" applyFill="1" applyBorder="1" applyAlignment="1" applyProtection="1">
      <alignment horizontal="right" vertical="center" wrapText="1"/>
    </xf>
    <xf numFmtId="0" fontId="6" fillId="4" borderId="2" xfId="0" applyFont="1" applyFill="1" applyBorder="1" applyAlignment="1" applyProtection="1">
      <alignment horizontal="right" vertical="top" wrapText="1"/>
      <protection locked="0"/>
    </xf>
    <xf numFmtId="0" fontId="26" fillId="4" borderId="2" xfId="0" applyNumberFormat="1" applyFont="1" applyFill="1" applyBorder="1" applyAlignment="1" applyProtection="1">
      <alignment vertical="center" wrapText="1"/>
      <protection locked="0"/>
    </xf>
    <xf numFmtId="0" fontId="26" fillId="4" borderId="2" xfId="0" applyFont="1" applyFill="1" applyBorder="1" applyAlignment="1" applyProtection="1">
      <alignment vertical="center" wrapText="1"/>
      <protection locked="0"/>
    </xf>
    <xf numFmtId="0" fontId="45" fillId="0" borderId="0" xfId="0" applyFont="1" applyAlignment="1">
      <alignment vertical="top" wrapText="1"/>
    </xf>
    <xf numFmtId="0" fontId="45" fillId="0" borderId="0" xfId="0" applyFont="1" applyFill="1" applyBorder="1" applyAlignment="1">
      <alignment vertical="top" wrapText="1"/>
    </xf>
    <xf numFmtId="0" fontId="8" fillId="0" borderId="0" xfId="0" applyFont="1" applyFill="1" applyBorder="1" applyAlignment="1"/>
    <xf numFmtId="0" fontId="45" fillId="0" borderId="16" xfId="0" applyFont="1" applyFill="1" applyBorder="1" applyAlignment="1">
      <alignment wrapText="1"/>
    </xf>
    <xf numFmtId="0" fontId="45" fillId="0" borderId="0" xfId="0" applyFont="1" applyFill="1" applyBorder="1" applyAlignment="1">
      <alignment wrapText="1"/>
    </xf>
    <xf numFmtId="0" fontId="45" fillId="0" borderId="0" xfId="0" applyFont="1" applyFill="1" applyBorder="1" applyAlignment="1">
      <alignment horizontal="center" vertical="center" wrapText="1"/>
    </xf>
    <xf numFmtId="0" fontId="45" fillId="0" borderId="0" xfId="0" applyFont="1" applyFill="1" applyBorder="1" applyAlignment="1"/>
    <xf numFmtId="0" fontId="8" fillId="0" borderId="0" xfId="0" applyFont="1" applyFill="1" applyBorder="1" applyAlignment="1">
      <alignment vertical="center"/>
    </xf>
    <xf numFmtId="0" fontId="46" fillId="0" borderId="0" xfId="0" applyFont="1" applyFill="1" applyBorder="1" applyAlignment="1">
      <alignment vertical="center"/>
    </xf>
    <xf numFmtId="0" fontId="47" fillId="0" borderId="0" xfId="0" applyFont="1" applyFill="1" applyBorder="1" applyAlignment="1">
      <alignment vertical="center"/>
    </xf>
    <xf numFmtId="0" fontId="45" fillId="0" borderId="0" xfId="0" applyFont="1" applyFill="1" applyBorder="1" applyAlignment="1">
      <alignment vertical="center"/>
    </xf>
    <xf numFmtId="14" fontId="45" fillId="0" borderId="0" xfId="0" applyNumberFormat="1" applyFont="1" applyFill="1" applyBorder="1" applyAlignment="1">
      <alignment vertical="top" wrapText="1"/>
    </xf>
    <xf numFmtId="0" fontId="45" fillId="0" borderId="0" xfId="0" applyFont="1" applyFill="1" applyBorder="1" applyAlignment="1">
      <alignment horizontal="center" wrapText="1"/>
    </xf>
    <xf numFmtId="0" fontId="45" fillId="0" borderId="22" xfId="0" applyFont="1" applyFill="1" applyBorder="1" applyAlignment="1">
      <alignment horizontal="left" vertical="center" wrapText="1"/>
    </xf>
    <xf numFmtId="0" fontId="45" fillId="0" borderId="0" xfId="0" applyFont="1" applyFill="1" applyBorder="1" applyAlignment="1">
      <alignment vertical="center" wrapText="1"/>
    </xf>
    <xf numFmtId="0" fontId="45" fillId="0" borderId="38" xfId="0" applyFont="1" applyFill="1" applyBorder="1" applyAlignment="1">
      <alignment wrapText="1"/>
    </xf>
    <xf numFmtId="0" fontId="45" fillId="0" borderId="27" xfId="0" applyFont="1" applyFill="1" applyBorder="1" applyAlignment="1">
      <alignment wrapText="1"/>
    </xf>
    <xf numFmtId="4" fontId="45" fillId="0" borderId="0" xfId="0" applyNumberFormat="1" applyFont="1" applyFill="1" applyBorder="1" applyAlignment="1">
      <alignment vertical="top" wrapText="1"/>
    </xf>
    <xf numFmtId="0" fontId="45" fillId="0" borderId="0" xfId="0" applyFont="1" applyFill="1" applyAlignment="1">
      <alignment vertical="top" wrapText="1"/>
    </xf>
    <xf numFmtId="0" fontId="8" fillId="0" borderId="10" xfId="0" applyFont="1" applyFill="1" applyBorder="1" applyAlignment="1"/>
    <xf numFmtId="0" fontId="8" fillId="0" borderId="53" xfId="0" applyFont="1" applyFill="1" applyBorder="1" applyAlignment="1"/>
    <xf numFmtId="0" fontId="45" fillId="0" borderId="44" xfId="0" applyNumberFormat="1" applyFont="1" applyFill="1" applyBorder="1" applyAlignment="1">
      <alignment vertical="top"/>
    </xf>
    <xf numFmtId="0" fontId="45" fillId="0" borderId="54" xfId="0" applyNumberFormat="1" applyFont="1" applyFill="1" applyBorder="1" applyAlignment="1">
      <alignment vertical="top"/>
    </xf>
    <xf numFmtId="0" fontId="45" fillId="0" borderId="0" xfId="0" applyNumberFormat="1" applyFont="1" applyFill="1" applyBorder="1" applyAlignment="1">
      <alignment vertical="top"/>
    </xf>
    <xf numFmtId="0" fontId="45" fillId="0" borderId="46" xfId="0" applyNumberFormat="1" applyFont="1" applyFill="1" applyBorder="1" applyAlignment="1">
      <alignment vertical="top"/>
    </xf>
    <xf numFmtId="0" fontId="45" fillId="0" borderId="55" xfId="0" applyNumberFormat="1" applyFont="1" applyFill="1" applyBorder="1" applyAlignment="1">
      <alignment vertical="top"/>
    </xf>
    <xf numFmtId="0" fontId="45" fillId="0" borderId="39" xfId="0" applyNumberFormat="1" applyFont="1" applyFill="1" applyBorder="1" applyAlignment="1">
      <alignment vertical="top"/>
    </xf>
    <xf numFmtId="0" fontId="45" fillId="0" borderId="56" xfId="0" applyNumberFormat="1" applyFont="1" applyFill="1" applyBorder="1" applyAlignment="1">
      <alignment vertical="top"/>
    </xf>
    <xf numFmtId="0" fontId="45" fillId="0" borderId="0" xfId="0" quotePrefix="1" applyFont="1" applyFill="1" applyBorder="1" applyAlignment="1"/>
    <xf numFmtId="0" fontId="45" fillId="14" borderId="24" xfId="0" applyFont="1" applyFill="1" applyBorder="1" applyAlignment="1"/>
    <xf numFmtId="0" fontId="45" fillId="0" borderId="0" xfId="0" applyFont="1" applyFill="1" applyBorder="1" applyAlignment="1">
      <alignment horizontal="center"/>
    </xf>
    <xf numFmtId="0" fontId="49" fillId="0" borderId="0" xfId="0" applyFont="1" applyFill="1" applyBorder="1" applyAlignment="1">
      <alignment vertical="center" wrapText="1"/>
    </xf>
    <xf numFmtId="0" fontId="50" fillId="0" borderId="0" xfId="0" applyFont="1" applyAlignment="1">
      <alignment wrapText="1"/>
    </xf>
    <xf numFmtId="0" fontId="52" fillId="0" borderId="0" xfId="0" applyFont="1" applyAlignment="1">
      <alignment wrapText="1"/>
    </xf>
    <xf numFmtId="0" fontId="45" fillId="0" borderId="37" xfId="0" applyFont="1" applyFill="1" applyBorder="1" applyAlignment="1">
      <alignment wrapText="1"/>
    </xf>
    <xf numFmtId="0" fontId="45" fillId="0" borderId="22" xfId="0" applyFont="1" applyFill="1" applyBorder="1" applyAlignment="1">
      <alignment wrapText="1"/>
    </xf>
    <xf numFmtId="0" fontId="45" fillId="0" borderId="36" xfId="0" applyFont="1" applyFill="1" applyBorder="1" applyAlignment="1">
      <alignment wrapText="1"/>
    </xf>
    <xf numFmtId="0" fontId="53" fillId="0" borderId="0" xfId="0" applyFont="1" applyAlignment="1">
      <alignment horizontal="left" wrapText="1"/>
    </xf>
    <xf numFmtId="0" fontId="45" fillId="0" borderId="0" xfId="0" applyFont="1" applyFill="1" applyBorder="1" applyAlignment="1">
      <alignment horizontal="left" wrapText="1"/>
    </xf>
    <xf numFmtId="14" fontId="45" fillId="0" borderId="0" xfId="0" applyNumberFormat="1" applyFont="1" applyFill="1" applyBorder="1" applyAlignment="1">
      <alignment horizontal="left" vertical="center" wrapText="1"/>
    </xf>
    <xf numFmtId="14" fontId="45" fillId="0" borderId="2" xfId="0" applyNumberFormat="1" applyFont="1" applyBorder="1" applyAlignment="1">
      <alignment horizontal="center" vertical="top" wrapText="1"/>
    </xf>
    <xf numFmtId="0" fontId="45" fillId="0" borderId="2" xfId="0" applyFont="1" applyBorder="1" applyAlignment="1">
      <alignment horizontal="center" vertical="top" wrapText="1"/>
    </xf>
    <xf numFmtId="1" fontId="45" fillId="0" borderId="2" xfId="0" applyNumberFormat="1" applyFont="1" applyBorder="1" applyAlignment="1">
      <alignment horizontal="center" vertical="top" wrapText="1"/>
    </xf>
    <xf numFmtId="4" fontId="45" fillId="0" borderId="2" xfId="0" applyNumberFormat="1" applyFont="1" applyBorder="1" applyAlignment="1">
      <alignment horizontal="center" vertical="top" wrapText="1"/>
    </xf>
    <xf numFmtId="0" fontId="45" fillId="0" borderId="0" xfId="0" applyFont="1" applyAlignment="1">
      <alignment horizontal="center" vertical="top" wrapText="1"/>
    </xf>
    <xf numFmtId="0" fontId="45" fillId="0" borderId="0" xfId="0" applyFont="1" applyFill="1" applyBorder="1" applyAlignment="1">
      <alignment horizontal="center" vertical="top" wrapText="1"/>
    </xf>
    <xf numFmtId="0" fontId="8" fillId="14" borderId="50" xfId="0" applyFont="1" applyFill="1" applyBorder="1" applyAlignment="1">
      <alignment horizontal="center" wrapText="1"/>
    </xf>
    <xf numFmtId="0" fontId="8" fillId="14" borderId="57" xfId="0" applyFont="1" applyFill="1" applyBorder="1" applyAlignment="1">
      <alignment horizontal="center" wrapText="1"/>
    </xf>
    <xf numFmtId="0" fontId="8" fillId="14" borderId="58" xfId="0" applyFont="1" applyFill="1" applyBorder="1" applyAlignment="1">
      <alignment horizontal="center" wrapText="1"/>
    </xf>
    <xf numFmtId="0" fontId="8" fillId="14" borderId="57" xfId="0" applyFont="1" applyFill="1" applyBorder="1" applyAlignment="1">
      <alignment horizontal="center"/>
    </xf>
    <xf numFmtId="0" fontId="8" fillId="14" borderId="50" xfId="0" applyFont="1" applyFill="1" applyBorder="1" applyAlignment="1">
      <alignment horizontal="center"/>
    </xf>
    <xf numFmtId="0" fontId="45" fillId="0" borderId="16" xfId="0" applyFont="1" applyFill="1" applyBorder="1" applyAlignment="1">
      <alignment horizontal="center" wrapText="1"/>
    </xf>
    <xf numFmtId="0" fontId="45" fillId="0" borderId="16" xfId="0" applyFont="1" applyFill="1" applyBorder="1" applyAlignment="1">
      <alignment horizontal="left" wrapText="1"/>
    </xf>
    <xf numFmtId="0" fontId="45" fillId="0" borderId="27" xfId="0" applyFont="1" applyFill="1" applyBorder="1" applyAlignment="1">
      <alignment horizontal="center" wrapText="1"/>
    </xf>
    <xf numFmtId="0" fontId="45" fillId="0" borderId="38" xfId="0" applyFont="1" applyFill="1" applyBorder="1" applyAlignment="1">
      <alignment vertical="top" wrapText="1"/>
    </xf>
    <xf numFmtId="0" fontId="45" fillId="0" borderId="16" xfId="0" applyFont="1" applyFill="1" applyBorder="1" applyAlignment="1">
      <alignment vertical="top" wrapText="1"/>
    </xf>
    <xf numFmtId="0" fontId="45" fillId="0" borderId="16" xfId="0" applyFont="1" applyFill="1" applyBorder="1" applyAlignment="1">
      <alignment horizontal="left" vertical="top" wrapText="1"/>
    </xf>
    <xf numFmtId="0" fontId="45" fillId="0" borderId="37" xfId="0" applyFont="1" applyFill="1" applyBorder="1" applyAlignment="1">
      <alignment vertical="top"/>
    </xf>
    <xf numFmtId="0" fontId="45" fillId="0" borderId="22" xfId="0" applyFont="1" applyFill="1" applyBorder="1" applyAlignment="1">
      <alignment vertical="top"/>
    </xf>
    <xf numFmtId="0" fontId="45" fillId="0" borderId="36" xfId="0" applyFont="1" applyFill="1" applyBorder="1" applyAlignment="1">
      <alignment vertical="top"/>
    </xf>
    <xf numFmtId="0" fontId="45" fillId="0" borderId="38" xfId="0" applyFont="1" applyFill="1" applyBorder="1" applyAlignment="1">
      <alignment horizontal="center" wrapText="1"/>
    </xf>
    <xf numFmtId="0" fontId="8" fillId="15" borderId="50" xfId="0" applyFont="1" applyFill="1" applyBorder="1" applyAlignment="1" applyProtection="1">
      <alignment horizontal="center"/>
      <protection locked="0"/>
    </xf>
    <xf numFmtId="0" fontId="45" fillId="15" borderId="2" xfId="0" applyFont="1" applyFill="1" applyBorder="1" applyAlignment="1" applyProtection="1">
      <alignment horizontal="center" vertical="top" wrapText="1"/>
      <protection locked="0"/>
    </xf>
    <xf numFmtId="0" fontId="8" fillId="14" borderId="58" xfId="0" applyFont="1" applyFill="1" applyBorder="1" applyAlignment="1" applyProtection="1">
      <alignment horizontal="center"/>
    </xf>
    <xf numFmtId="0" fontId="8" fillId="14" borderId="58" xfId="0" applyFont="1" applyFill="1" applyBorder="1" applyAlignment="1">
      <alignment horizontal="center"/>
    </xf>
    <xf numFmtId="0" fontId="8" fillId="14" borderId="57" xfId="0" applyFont="1" applyFill="1" applyBorder="1" applyAlignment="1" applyProtection="1">
      <alignment horizontal="center" vertical="top" wrapText="1"/>
    </xf>
    <xf numFmtId="0" fontId="8" fillId="14" borderId="58" xfId="0" applyFont="1" applyFill="1" applyBorder="1" applyAlignment="1" applyProtection="1">
      <alignment horizontal="center" wrapText="1"/>
    </xf>
    <xf numFmtId="0" fontId="45" fillId="15" borderId="0" xfId="0" applyFont="1" applyFill="1" applyBorder="1" applyAlignment="1" applyProtection="1">
      <alignment horizontal="center" wrapText="1"/>
      <protection locked="0"/>
    </xf>
    <xf numFmtId="0" fontId="49" fillId="0" borderId="0" xfId="0" applyFont="1" applyFill="1" applyBorder="1" applyAlignment="1">
      <alignment wrapText="1"/>
    </xf>
    <xf numFmtId="14" fontId="49" fillId="0" borderId="0" xfId="0" applyNumberFormat="1" applyFont="1" applyFill="1" applyBorder="1" applyAlignment="1">
      <alignment horizontal="left" wrapText="1"/>
    </xf>
    <xf numFmtId="1" fontId="45" fillId="0" borderId="38" xfId="0" applyNumberFormat="1" applyFont="1" applyFill="1" applyBorder="1" applyAlignment="1">
      <alignment horizontal="center" wrapText="1"/>
    </xf>
    <xf numFmtId="1" fontId="45" fillId="0" borderId="16" xfId="0" applyNumberFormat="1" applyFont="1" applyFill="1" applyBorder="1" applyAlignment="1">
      <alignment horizontal="center" wrapText="1"/>
    </xf>
    <xf numFmtId="1" fontId="45" fillId="0" borderId="27" xfId="0" applyNumberFormat="1" applyFont="1" applyFill="1" applyBorder="1" applyAlignment="1">
      <alignment horizontal="center" wrapText="1"/>
    </xf>
    <xf numFmtId="1" fontId="45" fillId="0" borderId="0" xfId="0" applyNumberFormat="1" applyFont="1" applyFill="1" applyBorder="1" applyAlignment="1">
      <alignment horizontal="center"/>
    </xf>
    <xf numFmtId="0" fontId="59" fillId="0" borderId="0" xfId="0" applyFont="1" applyAlignment="1">
      <alignment horizontal="justify" wrapText="1"/>
    </xf>
    <xf numFmtId="0" fontId="0" fillId="0" borderId="0" xfId="0" applyAlignment="1">
      <alignment wrapText="1"/>
    </xf>
    <xf numFmtId="0" fontId="60" fillId="0" borderId="0" xfId="0" applyFont="1" applyAlignment="1">
      <alignment horizontal="justify" wrapText="1"/>
    </xf>
    <xf numFmtId="0" fontId="58" fillId="0" borderId="0" xfId="0" applyFont="1" applyAlignment="1">
      <alignment wrapText="1"/>
    </xf>
    <xf numFmtId="0" fontId="25" fillId="0" borderId="0" xfId="0" applyFont="1" applyAlignment="1">
      <alignment wrapText="1"/>
    </xf>
    <xf numFmtId="0" fontId="10" fillId="0" borderId="0" xfId="0" applyFont="1" applyAlignment="1">
      <alignment wrapText="1"/>
    </xf>
    <xf numFmtId="0" fontId="61" fillId="0" borderId="0" xfId="0" applyFont="1" applyAlignment="1">
      <alignment horizontal="justify" wrapText="1"/>
    </xf>
    <xf numFmtId="0" fontId="10" fillId="0" borderId="0" xfId="0" applyFont="1" applyAlignment="1">
      <alignment horizontal="justify" wrapText="1"/>
    </xf>
    <xf numFmtId="0" fontId="10" fillId="0" borderId="37" xfId="0" applyFont="1" applyBorder="1" applyAlignment="1">
      <alignment vertical="top" wrapText="1"/>
    </xf>
    <xf numFmtId="0" fontId="10" fillId="0" borderId="22" xfId="0" applyFont="1" applyBorder="1" applyAlignment="1">
      <alignment vertical="top" wrapText="1"/>
    </xf>
    <xf numFmtId="0" fontId="10" fillId="0" borderId="36" xfId="0" applyFont="1" applyBorder="1" applyAlignment="1">
      <alignment vertical="top" wrapText="1"/>
    </xf>
    <xf numFmtId="0" fontId="10" fillId="0" borderId="36" xfId="0" applyFont="1" applyFill="1" applyBorder="1" applyAlignment="1">
      <alignment vertical="top" wrapText="1"/>
    </xf>
    <xf numFmtId="0" fontId="10" fillId="0" borderId="27" xfId="0" applyFont="1" applyFill="1" applyBorder="1" applyAlignment="1">
      <alignment horizontal="left" vertical="top" wrapText="1"/>
    </xf>
    <xf numFmtId="0" fontId="10" fillId="0" borderId="22" xfId="0" applyFont="1" applyFill="1" applyBorder="1" applyAlignment="1">
      <alignment vertical="top" wrapText="1"/>
    </xf>
    <xf numFmtId="0" fontId="10" fillId="0" borderId="59" xfId="0" applyFont="1" applyFill="1" applyBorder="1" applyAlignment="1">
      <alignment horizontal="left" vertical="top" wrapText="1"/>
    </xf>
    <xf numFmtId="0" fontId="10" fillId="0" borderId="0" xfId="0" applyFont="1" applyAlignment="1">
      <alignment horizontal="left" wrapText="1"/>
    </xf>
    <xf numFmtId="0" fontId="0" fillId="0" borderId="0" xfId="0" applyAlignment="1">
      <alignment horizontal="left" wrapText="1"/>
    </xf>
    <xf numFmtId="0" fontId="25" fillId="0" borderId="0" xfId="0" applyFont="1" applyAlignment="1">
      <alignment horizontal="left" wrapText="1"/>
    </xf>
    <xf numFmtId="0" fontId="56" fillId="13" borderId="24" xfId="0" applyFont="1" applyFill="1" applyBorder="1" applyAlignment="1">
      <alignment vertical="top" wrapText="1"/>
    </xf>
    <xf numFmtId="0" fontId="3" fillId="15" borderId="49" xfId="0" applyFont="1" applyFill="1" applyBorder="1" applyAlignment="1">
      <alignment horizontal="center" vertical="top"/>
    </xf>
    <xf numFmtId="0" fontId="4" fillId="0" borderId="6" xfId="0" applyFont="1" applyFill="1" applyBorder="1" applyAlignment="1">
      <alignment vertical="top" wrapText="1"/>
    </xf>
    <xf numFmtId="0" fontId="4" fillId="0" borderId="7" xfId="0" applyFont="1" applyFill="1" applyBorder="1" applyAlignment="1">
      <alignment vertical="top" wrapText="1"/>
    </xf>
    <xf numFmtId="0" fontId="4" fillId="13" borderId="60" xfId="0" applyFont="1" applyFill="1" applyBorder="1" applyAlignment="1">
      <alignment vertical="top" wrapText="1"/>
    </xf>
    <xf numFmtId="0" fontId="4" fillId="4" borderId="2" xfId="0" applyFont="1" applyFill="1" applyBorder="1" applyAlignment="1" applyProtection="1">
      <alignment vertical="top" wrapText="1"/>
      <protection locked="0"/>
    </xf>
    <xf numFmtId="0" fontId="4" fillId="0" borderId="37" xfId="0" applyFont="1" applyFill="1" applyBorder="1" applyAlignment="1">
      <alignment vertical="top" wrapText="1"/>
    </xf>
    <xf numFmtId="0" fontId="4" fillId="4" borderId="9" xfId="0" applyFont="1" applyFill="1" applyBorder="1" applyAlignment="1" applyProtection="1">
      <alignment vertical="top" wrapText="1"/>
      <protection locked="0"/>
    </xf>
    <xf numFmtId="0" fontId="4" fillId="13" borderId="38" xfId="0" applyFont="1" applyFill="1" applyBorder="1" applyAlignment="1" applyProtection="1">
      <alignment vertical="top" wrapText="1"/>
    </xf>
    <xf numFmtId="0" fontId="4" fillId="13" borderId="16" xfId="0" applyFont="1" applyFill="1" applyBorder="1" applyAlignment="1" applyProtection="1">
      <alignment vertical="top" wrapText="1"/>
    </xf>
    <xf numFmtId="0" fontId="4" fillId="13" borderId="27" xfId="0" applyFont="1" applyFill="1" applyBorder="1" applyAlignment="1" applyProtection="1">
      <alignment vertical="top" wrapText="1"/>
    </xf>
    <xf numFmtId="0" fontId="10" fillId="4" borderId="38" xfId="0" applyFont="1" applyFill="1" applyBorder="1" applyAlignment="1" applyProtection="1">
      <alignment vertical="top" wrapText="1"/>
      <protection locked="0"/>
    </xf>
    <xf numFmtId="0" fontId="10" fillId="4" borderId="16" xfId="0" applyFont="1" applyFill="1" applyBorder="1" applyAlignment="1" applyProtection="1">
      <alignment vertical="top" wrapText="1"/>
      <protection locked="0"/>
    </xf>
    <xf numFmtId="0" fontId="10" fillId="4" borderId="27" xfId="0" applyFont="1" applyFill="1" applyBorder="1" applyAlignment="1" applyProtection="1">
      <alignment vertical="top" wrapText="1"/>
      <protection locked="0"/>
    </xf>
    <xf numFmtId="0" fontId="10" fillId="4" borderId="14" xfId="0" applyFont="1" applyFill="1" applyBorder="1" applyAlignment="1" applyProtection="1">
      <alignment vertical="top" wrapText="1"/>
      <protection locked="0"/>
    </xf>
    <xf numFmtId="0" fontId="8" fillId="0" borderId="0" xfId="0" applyFont="1" applyFill="1" applyBorder="1" applyAlignment="1">
      <alignment horizontal="left" wrapText="1"/>
    </xf>
    <xf numFmtId="0" fontId="69" fillId="2" borderId="24" xfId="0" applyFont="1" applyFill="1" applyBorder="1" applyAlignment="1">
      <alignment horizontal="center" vertical="top"/>
    </xf>
    <xf numFmtId="0" fontId="26" fillId="4" borderId="13" xfId="0" applyNumberFormat="1" applyFont="1" applyFill="1" applyBorder="1" applyAlignment="1" applyProtection="1">
      <alignment vertical="center" wrapText="1"/>
      <protection locked="0"/>
    </xf>
    <xf numFmtId="0" fontId="45" fillId="0" borderId="0" xfId="0" applyFont="1" applyFill="1" applyBorder="1" applyAlignment="1" applyProtection="1"/>
    <xf numFmtId="14" fontId="45" fillId="0" borderId="2" xfId="0" applyNumberFormat="1" applyFont="1" applyFill="1" applyBorder="1" applyAlignment="1" applyProtection="1">
      <alignment horizontal="center" vertical="top" wrapText="1"/>
    </xf>
    <xf numFmtId="0" fontId="45" fillId="0" borderId="0" xfId="0" applyFont="1" applyFill="1" applyBorder="1" applyAlignment="1" applyProtection="1">
      <alignment vertical="center"/>
    </xf>
    <xf numFmtId="0" fontId="45" fillId="0" borderId="0" xfId="0" applyFont="1" applyFill="1" applyBorder="1" applyAlignment="1" applyProtection="1">
      <alignment horizontal="center"/>
    </xf>
    <xf numFmtId="0" fontId="8" fillId="0" borderId="0" xfId="0" applyFont="1" applyFill="1" applyBorder="1" applyAlignment="1" applyProtection="1">
      <alignment vertical="center"/>
    </xf>
    <xf numFmtId="0" fontId="46" fillId="0" borderId="0" xfId="0" applyFont="1" applyFill="1" applyBorder="1" applyAlignment="1" applyProtection="1">
      <alignment vertical="center"/>
    </xf>
    <xf numFmtId="0" fontId="45" fillId="0" borderId="0" xfId="0" applyFont="1" applyFill="1" applyAlignment="1" applyProtection="1">
      <alignment vertical="top" wrapText="1"/>
    </xf>
    <xf numFmtId="0" fontId="45" fillId="0" borderId="36" xfId="0" applyNumberFormat="1" applyFont="1" applyFill="1" applyBorder="1" applyAlignment="1" applyProtection="1">
      <alignment vertical="top"/>
    </xf>
    <xf numFmtId="0" fontId="45" fillId="0" borderId="9" xfId="0" applyNumberFormat="1" applyFont="1" applyFill="1" applyBorder="1" applyAlignment="1" applyProtection="1">
      <alignment vertical="top"/>
    </xf>
    <xf numFmtId="0" fontId="0" fillId="0" borderId="0" xfId="0" applyFill="1"/>
    <xf numFmtId="0" fontId="0" fillId="16" borderId="0" xfId="0" applyFill="1"/>
    <xf numFmtId="0" fontId="3" fillId="0" borderId="0" xfId="0" applyFont="1"/>
    <xf numFmtId="0" fontId="0" fillId="17" borderId="2" xfId="0" applyFill="1" applyBorder="1" applyAlignment="1">
      <alignment vertical="top" wrapText="1"/>
    </xf>
    <xf numFmtId="2" fontId="0" fillId="17" borderId="2" xfId="0" applyNumberFormat="1" applyFill="1" applyBorder="1" applyAlignment="1">
      <alignment vertical="top" wrapText="1"/>
    </xf>
    <xf numFmtId="0" fontId="0" fillId="2" borderId="1" xfId="0" applyFill="1" applyBorder="1"/>
    <xf numFmtId="0" fontId="0" fillId="2" borderId="3" xfId="0" applyFill="1" applyBorder="1"/>
    <xf numFmtId="0" fontId="0" fillId="0" borderId="3" xfId="0" applyFill="1" applyBorder="1"/>
    <xf numFmtId="0" fontId="0" fillId="0" borderId="4" xfId="0" applyFill="1" applyBorder="1"/>
    <xf numFmtId="0" fontId="0" fillId="0" borderId="0" xfId="0" applyFill="1" applyBorder="1"/>
    <xf numFmtId="0" fontId="0" fillId="0" borderId="6" xfId="0" applyFill="1" applyBorder="1"/>
    <xf numFmtId="0" fontId="0" fillId="0" borderId="7" xfId="0" applyFill="1" applyBorder="1"/>
    <xf numFmtId="0" fontId="0" fillId="2" borderId="17" xfId="0" applyFill="1" applyBorder="1"/>
    <xf numFmtId="0" fontId="0" fillId="0" borderId="20" xfId="0" applyFill="1" applyBorder="1"/>
    <xf numFmtId="0" fontId="0" fillId="0" borderId="21" xfId="0" applyFill="1" applyBorder="1"/>
    <xf numFmtId="0" fontId="0" fillId="0" borderId="1" xfId="0" applyFill="1" applyBorder="1"/>
    <xf numFmtId="0" fontId="0" fillId="17" borderId="21" xfId="0" applyFill="1" applyBorder="1"/>
    <xf numFmtId="0" fontId="0" fillId="17" borderId="26" xfId="0" applyFill="1" applyBorder="1"/>
    <xf numFmtId="0" fontId="0" fillId="17" borderId="3" xfId="0" applyFill="1" applyBorder="1"/>
    <xf numFmtId="0" fontId="0" fillId="17" borderId="49" xfId="0" applyFill="1" applyBorder="1"/>
    <xf numFmtId="0" fontId="0" fillId="17" borderId="0" xfId="0" applyFill="1" applyBorder="1"/>
    <xf numFmtId="0" fontId="0" fillId="17" borderId="5" xfId="0" applyFill="1" applyBorder="1"/>
    <xf numFmtId="0" fontId="0" fillId="17" borderId="7" xfId="0" applyFill="1" applyBorder="1"/>
    <xf numFmtId="0" fontId="0" fillId="17" borderId="17" xfId="0" applyFill="1" applyBorder="1"/>
    <xf numFmtId="0" fontId="13" fillId="2" borderId="0" xfId="0" applyFont="1" applyFill="1"/>
    <xf numFmtId="0" fontId="13" fillId="2" borderId="0" xfId="0" applyFont="1" applyFill="1" applyBorder="1"/>
    <xf numFmtId="0" fontId="13" fillId="2" borderId="7" xfId="0" applyFont="1" applyFill="1" applyBorder="1"/>
    <xf numFmtId="0" fontId="3" fillId="17" borderId="3" xfId="0" applyFont="1" applyFill="1" applyBorder="1"/>
    <xf numFmtId="0" fontId="3" fillId="17" borderId="0" xfId="0" applyFont="1" applyFill="1" applyBorder="1"/>
    <xf numFmtId="0" fontId="3" fillId="17" borderId="7" xfId="0" applyFont="1" applyFill="1" applyBorder="1"/>
    <xf numFmtId="0" fontId="24" fillId="18" borderId="2" xfId="0" applyFont="1" applyFill="1" applyBorder="1" applyAlignment="1">
      <alignment horizontal="right" vertical="top"/>
    </xf>
    <xf numFmtId="0" fontId="24" fillId="17" borderId="21" xfId="0" applyFont="1" applyFill="1" applyBorder="1"/>
    <xf numFmtId="1" fontId="0" fillId="0" borderId="0" xfId="0" applyNumberFormat="1"/>
    <xf numFmtId="1" fontId="17" fillId="19" borderId="2" xfId="0" applyNumberFormat="1" applyFont="1" applyFill="1" applyBorder="1" applyAlignment="1">
      <alignment vertical="top" wrapText="1"/>
    </xf>
    <xf numFmtId="1" fontId="0" fillId="2" borderId="1" xfId="0" applyNumberFormat="1" applyFill="1" applyBorder="1" applyAlignment="1" applyProtection="1">
      <alignment horizontal="right" vertical="center" wrapText="1"/>
    </xf>
    <xf numFmtId="1" fontId="0" fillId="13" borderId="16" xfId="0" applyNumberFormat="1" applyFill="1" applyBorder="1" applyAlignment="1" applyProtection="1">
      <alignment horizontal="center" vertical="center" wrapText="1"/>
    </xf>
    <xf numFmtId="0" fontId="8" fillId="13" borderId="16" xfId="0" applyFont="1" applyFill="1" applyBorder="1" applyAlignment="1" applyProtection="1">
      <alignment horizontal="center" vertical="center" wrapText="1"/>
    </xf>
    <xf numFmtId="1" fontId="0" fillId="13" borderId="22" xfId="0" applyNumberFormat="1" applyFill="1" applyBorder="1" applyAlignment="1" applyProtection="1">
      <alignment horizontal="right" vertical="center" wrapText="1"/>
    </xf>
    <xf numFmtId="0" fontId="26" fillId="4" borderId="25" xfId="0" applyNumberFormat="1" applyFont="1" applyFill="1" applyBorder="1" applyAlignment="1" applyProtection="1">
      <alignment vertical="center" wrapText="1"/>
      <protection locked="0"/>
    </xf>
    <xf numFmtId="1" fontId="45" fillId="5" borderId="2" xfId="0" applyNumberFormat="1" applyFont="1" applyFill="1" applyBorder="1" applyAlignment="1" applyProtection="1">
      <alignment horizontal="right" vertical="top" wrapText="1"/>
    </xf>
    <xf numFmtId="0" fontId="26" fillId="5" borderId="2" xfId="0" applyFont="1" applyFill="1" applyBorder="1" applyAlignment="1" applyProtection="1">
      <alignment horizontal="right" vertical="top" wrapText="1"/>
    </xf>
    <xf numFmtId="0" fontId="4" fillId="2" borderId="0" xfId="0" applyFont="1" applyFill="1" applyBorder="1" applyAlignment="1">
      <alignment vertical="top"/>
    </xf>
    <xf numFmtId="0" fontId="3" fillId="2" borderId="0" xfId="0" applyFont="1" applyFill="1" applyProtection="1"/>
    <xf numFmtId="0" fontId="0" fillId="2" borderId="0" xfId="0" applyFill="1" applyProtection="1"/>
    <xf numFmtId="0" fontId="56" fillId="2" borderId="0" xfId="0" applyFont="1" applyFill="1" applyProtection="1"/>
    <xf numFmtId="0" fontId="0" fillId="2" borderId="2" xfId="0" applyFill="1" applyBorder="1" applyProtection="1"/>
    <xf numFmtId="0" fontId="0" fillId="3" borderId="2" xfId="0" applyFill="1" applyBorder="1" applyProtection="1"/>
    <xf numFmtId="0" fontId="45" fillId="4" borderId="2" xfId="0" applyNumberFormat="1" applyFont="1" applyFill="1" applyBorder="1" applyAlignment="1" applyProtection="1">
      <alignment horizontal="center"/>
    </xf>
    <xf numFmtId="0" fontId="45" fillId="4" borderId="2" xfId="0" applyFont="1" applyFill="1" applyBorder="1" applyAlignment="1" applyProtection="1">
      <alignment wrapText="1"/>
    </xf>
    <xf numFmtId="0" fontId="45" fillId="0" borderId="0" xfId="0" applyFont="1" applyAlignment="1" applyProtection="1">
      <alignment wrapText="1"/>
    </xf>
    <xf numFmtId="0" fontId="45" fillId="4" borderId="2" xfId="0" applyFont="1" applyFill="1" applyBorder="1" applyProtection="1"/>
    <xf numFmtId="165" fontId="45" fillId="4" borderId="2" xfId="0" applyNumberFormat="1" applyFont="1" applyFill="1" applyBorder="1" applyProtection="1"/>
    <xf numFmtId="0" fontId="45" fillId="4" borderId="2" xfId="0" applyNumberFormat="1" applyFont="1" applyFill="1" applyBorder="1" applyProtection="1"/>
    <xf numFmtId="1" fontId="45" fillId="4" borderId="2" xfId="0" applyNumberFormat="1" applyFont="1" applyFill="1" applyBorder="1" applyProtection="1"/>
    <xf numFmtId="0" fontId="45" fillId="10" borderId="2" xfId="0" applyFont="1" applyFill="1" applyBorder="1" applyProtection="1"/>
    <xf numFmtId="1" fontId="45" fillId="18" borderId="2" xfId="0" applyNumberFormat="1" applyFont="1" applyFill="1" applyBorder="1" applyAlignment="1" applyProtection="1">
      <alignment horizontal="center"/>
    </xf>
    <xf numFmtId="0" fontId="45" fillId="0" borderId="0" xfId="0" applyFont="1" applyProtection="1"/>
    <xf numFmtId="0" fontId="45" fillId="0" borderId="0" xfId="0" applyFont="1" applyBorder="1" applyProtection="1"/>
    <xf numFmtId="4" fontId="45" fillId="4" borderId="2" xfId="0" applyNumberFormat="1" applyFont="1" applyFill="1" applyBorder="1" applyProtection="1"/>
    <xf numFmtId="2" fontId="45" fillId="4" borderId="2" xfId="0" applyNumberFormat="1" applyFont="1" applyFill="1" applyBorder="1" applyProtection="1"/>
    <xf numFmtId="0" fontId="45" fillId="20" borderId="2" xfId="0" applyFont="1" applyFill="1" applyBorder="1" applyProtection="1"/>
    <xf numFmtId="0" fontId="0" fillId="0" borderId="0" xfId="0" applyAlignment="1">
      <alignment vertical="center"/>
    </xf>
    <xf numFmtId="0" fontId="58" fillId="2" borderId="0" xfId="0" applyFont="1" applyFill="1" applyProtection="1"/>
    <xf numFmtId="0" fontId="0" fillId="2" borderId="2" xfId="0" applyFill="1" applyBorder="1" applyAlignment="1" applyProtection="1">
      <alignment vertical="center"/>
    </xf>
    <xf numFmtId="0" fontId="0" fillId="2" borderId="2" xfId="0" quotePrefix="1" applyFill="1" applyBorder="1" applyAlignment="1" applyProtection="1">
      <alignment vertical="center" wrapText="1"/>
    </xf>
    <xf numFmtId="0" fontId="0" fillId="2" borderId="2" xfId="0" applyFill="1" applyBorder="1" applyAlignment="1" applyProtection="1">
      <alignment vertical="center" wrapText="1"/>
    </xf>
    <xf numFmtId="0" fontId="0" fillId="19" borderId="2" xfId="0" applyFill="1" applyBorder="1"/>
    <xf numFmtId="0" fontId="0" fillId="19" borderId="2" xfId="0" applyFill="1" applyBorder="1" applyAlignment="1">
      <alignment vertical="top"/>
    </xf>
    <xf numFmtId="0" fontId="49" fillId="2" borderId="2" xfId="0" applyFont="1" applyFill="1" applyBorder="1" applyAlignment="1" applyProtection="1">
      <alignment vertical="top" wrapText="1"/>
    </xf>
    <xf numFmtId="0" fontId="0" fillId="2" borderId="2" xfId="0" applyFill="1" applyBorder="1" applyAlignment="1" applyProtection="1">
      <alignment vertical="top" wrapText="1"/>
    </xf>
    <xf numFmtId="0" fontId="4" fillId="2" borderId="0" xfId="0" applyFont="1" applyFill="1"/>
    <xf numFmtId="0" fontId="0" fillId="2" borderId="0" xfId="0" applyFill="1" applyAlignment="1" applyProtection="1">
      <alignment horizontal="center"/>
    </xf>
    <xf numFmtId="0" fontId="0" fillId="2" borderId="0" xfId="0" applyNumberFormat="1" applyFill="1" applyBorder="1"/>
    <xf numFmtId="0" fontId="69" fillId="2" borderId="24" xfId="0" applyFont="1" applyFill="1" applyBorder="1" applyAlignment="1">
      <alignment horizontal="center" vertical="center"/>
    </xf>
    <xf numFmtId="1" fontId="6" fillId="4" borderId="2" xfId="0" applyNumberFormat="1" applyFont="1" applyFill="1" applyBorder="1" applyAlignment="1" applyProtection="1">
      <alignment horizontal="right" vertical="top" wrapText="1"/>
      <protection locked="0"/>
    </xf>
    <xf numFmtId="0" fontId="45" fillId="0" borderId="2" xfId="0" applyFont="1" applyFill="1" applyBorder="1" applyAlignment="1" applyProtection="1"/>
    <xf numFmtId="0" fontId="45" fillId="0" borderId="2" xfId="0" applyFont="1" applyFill="1" applyBorder="1" applyAlignment="1" applyProtection="1">
      <alignment vertical="center"/>
    </xf>
    <xf numFmtId="0" fontId="45" fillId="14" borderId="57" xfId="0" applyFont="1" applyFill="1" applyBorder="1" applyAlignment="1" applyProtection="1"/>
    <xf numFmtId="0" fontId="45" fillId="14" borderId="50" xfId="0" applyFont="1" applyFill="1" applyBorder="1" applyAlignment="1" applyProtection="1"/>
    <xf numFmtId="0" fontId="45" fillId="2" borderId="24" xfId="0" applyFont="1" applyFill="1" applyBorder="1" applyAlignment="1" applyProtection="1"/>
    <xf numFmtId="0" fontId="8" fillId="2" borderId="16" xfId="0" applyFont="1" applyFill="1" applyBorder="1" applyAlignment="1" applyProtection="1">
      <alignment horizontal="center" vertical="center" wrapText="1"/>
    </xf>
    <xf numFmtId="0" fontId="0" fillId="2" borderId="0" xfId="0" applyFill="1" applyAlignment="1" applyProtection="1">
      <alignment vertical="center" wrapText="1"/>
    </xf>
    <xf numFmtId="0" fontId="8" fillId="2" borderId="0" xfId="0" applyFont="1" applyFill="1" applyBorder="1" applyAlignment="1" applyProtection="1">
      <alignment horizontal="center" vertical="center" wrapText="1"/>
    </xf>
    <xf numFmtId="0" fontId="0" fillId="0" borderId="0" xfId="0" applyAlignment="1" applyProtection="1">
      <alignment vertical="center" wrapText="1"/>
    </xf>
    <xf numFmtId="0" fontId="0" fillId="2" borderId="0" xfId="0" applyFill="1" applyAlignment="1" applyProtection="1">
      <alignment horizontal="center" vertical="center" wrapText="1"/>
    </xf>
    <xf numFmtId="0" fontId="69" fillId="2" borderId="24" xfId="0" applyFont="1" applyFill="1" applyBorder="1" applyAlignment="1" applyProtection="1">
      <alignment horizontal="center" vertical="center" wrapText="1"/>
    </xf>
    <xf numFmtId="0" fontId="3" fillId="15" borderId="10" xfId="0" applyNumberFormat="1" applyFont="1" applyFill="1" applyBorder="1" applyAlignment="1" applyProtection="1">
      <alignment vertical="center" wrapText="1"/>
    </xf>
    <xf numFmtId="0" fontId="3" fillId="15" borderId="11" xfId="0" applyNumberFormat="1" applyFont="1" applyFill="1" applyBorder="1" applyAlignment="1" applyProtection="1">
      <alignment vertical="center" wrapText="1"/>
    </xf>
    <xf numFmtId="0" fontId="3" fillId="15" borderId="1" xfId="0" applyFont="1" applyFill="1" applyBorder="1" applyAlignment="1" applyProtection="1">
      <alignment horizontal="center" vertical="center" wrapText="1"/>
    </xf>
    <xf numFmtId="0" fontId="0" fillId="6" borderId="35" xfId="0" applyFill="1" applyBorder="1" applyAlignment="1" applyProtection="1">
      <alignment horizontal="center" vertical="center" wrapText="1"/>
    </xf>
    <xf numFmtId="0" fontId="0" fillId="0" borderId="8" xfId="0" applyNumberFormat="1" applyFill="1" applyBorder="1" applyAlignment="1" applyProtection="1">
      <alignment vertical="center" wrapText="1"/>
    </xf>
    <xf numFmtId="0" fontId="17" fillId="0" borderId="61" xfId="0" applyNumberFormat="1" applyFont="1" applyFill="1" applyBorder="1" applyAlignment="1" applyProtection="1">
      <alignment vertical="center" wrapText="1"/>
    </xf>
    <xf numFmtId="0" fontId="0" fillId="13" borderId="62" xfId="0" applyFill="1" applyBorder="1" applyAlignment="1" applyProtection="1">
      <alignment vertical="center" wrapText="1"/>
      <protection locked="0"/>
    </xf>
    <xf numFmtId="0" fontId="0" fillId="13" borderId="38" xfId="0" applyFill="1" applyBorder="1" applyAlignment="1" applyProtection="1">
      <alignment horizontal="center" vertical="center" wrapText="1"/>
    </xf>
    <xf numFmtId="0" fontId="0" fillId="0" borderId="2" xfId="0" applyNumberFormat="1" applyFill="1" applyBorder="1" applyAlignment="1" applyProtection="1">
      <alignment vertical="center" wrapText="1"/>
    </xf>
    <xf numFmtId="0" fontId="17" fillId="0" borderId="30" xfId="0" applyNumberFormat="1" applyFont="1" applyFill="1" applyBorder="1" applyAlignment="1" applyProtection="1">
      <alignment vertical="center" wrapText="1"/>
    </xf>
    <xf numFmtId="0" fontId="0" fillId="13" borderId="52" xfId="0" applyFill="1" applyBorder="1" applyAlignment="1" applyProtection="1">
      <alignment vertical="center" wrapText="1"/>
      <protection locked="0"/>
    </xf>
    <xf numFmtId="0" fontId="0" fillId="13" borderId="16" xfId="0" applyFill="1" applyBorder="1" applyAlignment="1" applyProtection="1">
      <alignment horizontal="center" vertical="center" wrapText="1"/>
    </xf>
    <xf numFmtId="0" fontId="0" fillId="2" borderId="4" xfId="0" applyFill="1" applyBorder="1" applyAlignment="1" applyProtection="1">
      <alignment vertical="center" wrapText="1"/>
    </xf>
    <xf numFmtId="0" fontId="0" fillId="13" borderId="51" xfId="0" applyFill="1" applyBorder="1" applyAlignment="1" applyProtection="1">
      <alignment vertical="center" wrapText="1"/>
      <protection locked="0"/>
    </xf>
    <xf numFmtId="0" fontId="17" fillId="0" borderId="2" xfId="0" applyNumberFormat="1" applyFont="1" applyFill="1" applyBorder="1" applyAlignment="1" applyProtection="1">
      <alignment vertical="center" wrapText="1"/>
    </xf>
    <xf numFmtId="0" fontId="0" fillId="2" borderId="5" xfId="0" applyFill="1" applyBorder="1" applyAlignment="1" applyProtection="1">
      <alignment horizontal="center" vertical="center" wrapText="1"/>
    </xf>
    <xf numFmtId="0" fontId="0" fillId="6" borderId="26" xfId="0" applyFill="1" applyBorder="1" applyAlignment="1" applyProtection="1">
      <alignment horizontal="center" vertical="center" wrapText="1"/>
    </xf>
    <xf numFmtId="0" fontId="0" fillId="13" borderId="26" xfId="0" applyFill="1" applyBorder="1" applyAlignment="1" applyProtection="1">
      <alignment horizontal="center" vertical="center" wrapText="1"/>
    </xf>
    <xf numFmtId="0" fontId="0" fillId="0" borderId="22" xfId="0" applyNumberFormat="1" applyFill="1" applyBorder="1" applyAlignment="1" applyProtection="1">
      <alignment vertical="center" wrapText="1"/>
    </xf>
    <xf numFmtId="0" fontId="0" fillId="0" borderId="19" xfId="0" applyNumberFormat="1" applyFill="1" applyBorder="1" applyAlignment="1" applyProtection="1">
      <alignment vertical="center" wrapText="1"/>
    </xf>
    <xf numFmtId="0" fontId="17" fillId="0" borderId="19" xfId="0" applyNumberFormat="1" applyFont="1" applyFill="1" applyBorder="1" applyAlignment="1" applyProtection="1">
      <alignment vertical="center" wrapText="1"/>
    </xf>
    <xf numFmtId="0" fontId="0" fillId="2" borderId="22" xfId="0" applyNumberFormat="1" applyFill="1" applyBorder="1" applyAlignment="1" applyProtection="1">
      <alignment vertical="center" wrapText="1"/>
    </xf>
    <xf numFmtId="0" fontId="17" fillId="2" borderId="30" xfId="0" applyNumberFormat="1" applyFont="1" applyFill="1" applyBorder="1" applyAlignment="1" applyProtection="1">
      <alignment vertical="center" wrapText="1"/>
    </xf>
    <xf numFmtId="0" fontId="0" fillId="2" borderId="63" xfId="0" applyNumberFormat="1" applyFill="1" applyBorder="1" applyAlignment="1" applyProtection="1">
      <alignment vertical="center" wrapText="1"/>
    </xf>
    <xf numFmtId="0" fontId="17" fillId="2" borderId="64" xfId="0" applyNumberFormat="1" applyFont="1" applyFill="1" applyBorder="1" applyAlignment="1" applyProtection="1">
      <alignment vertical="center" wrapText="1"/>
    </xf>
    <xf numFmtId="0" fontId="0" fillId="6" borderId="57" xfId="0" applyFill="1" applyBorder="1" applyAlignment="1" applyProtection="1">
      <alignment horizontal="center" vertical="center" wrapText="1"/>
    </xf>
    <xf numFmtId="0" fontId="0" fillId="0" borderId="25" xfId="0" applyNumberFormat="1" applyFill="1" applyBorder="1" applyAlignment="1" applyProtection="1">
      <alignment vertical="center" wrapText="1"/>
    </xf>
    <xf numFmtId="0" fontId="17" fillId="0" borderId="25" xfId="0" applyNumberFormat="1" applyFont="1" applyFill="1" applyBorder="1" applyAlignment="1" applyProtection="1">
      <alignment vertical="center" wrapText="1"/>
    </xf>
    <xf numFmtId="0" fontId="8" fillId="2" borderId="40" xfId="0" applyNumberFormat="1" applyFont="1" applyFill="1" applyBorder="1" applyAlignment="1" applyProtection="1">
      <alignment vertical="center" wrapText="1"/>
    </xf>
    <xf numFmtId="0" fontId="8" fillId="2" borderId="17" xfId="0" applyNumberFormat="1" applyFont="1" applyFill="1" applyBorder="1" applyAlignment="1" applyProtection="1">
      <alignment vertical="center" wrapText="1"/>
    </xf>
    <xf numFmtId="0" fontId="0" fillId="13" borderId="58" xfId="0" applyFill="1" applyBorder="1" applyAlignment="1" applyProtection="1">
      <alignment horizontal="center" vertical="center" wrapText="1"/>
    </xf>
    <xf numFmtId="0" fontId="0" fillId="2" borderId="0" xfId="0" applyFill="1" applyBorder="1" applyAlignment="1" applyProtection="1">
      <alignment vertical="center" wrapText="1"/>
    </xf>
    <xf numFmtId="0" fontId="3" fillId="15" borderId="10" xfId="0" applyFont="1" applyFill="1" applyBorder="1" applyAlignment="1" applyProtection="1">
      <alignment vertical="center" wrapText="1"/>
    </xf>
    <xf numFmtId="0" fontId="3" fillId="15" borderId="11" xfId="0" applyFont="1" applyFill="1" applyBorder="1" applyAlignment="1" applyProtection="1">
      <alignment vertical="center" wrapText="1"/>
    </xf>
    <xf numFmtId="0" fontId="3" fillId="15" borderId="28" xfId="0" applyFont="1" applyFill="1" applyBorder="1" applyAlignment="1" applyProtection="1">
      <alignment vertical="center" wrapText="1"/>
    </xf>
    <xf numFmtId="0" fontId="3" fillId="15" borderId="24" xfId="0" applyFont="1" applyFill="1" applyBorder="1" applyAlignment="1" applyProtection="1">
      <alignment horizontal="center" vertical="center" wrapText="1"/>
    </xf>
    <xf numFmtId="0" fontId="0" fillId="2" borderId="49" xfId="0" applyFill="1" applyBorder="1" applyAlignment="1" applyProtection="1">
      <alignment horizontal="center" vertical="center" wrapText="1"/>
    </xf>
    <xf numFmtId="0" fontId="0" fillId="0" borderId="3" xfId="0" applyFill="1" applyBorder="1" applyAlignment="1" applyProtection="1">
      <alignment vertical="center" wrapText="1"/>
    </xf>
    <xf numFmtId="0" fontId="0" fillId="0" borderId="8" xfId="0" applyFill="1" applyBorder="1" applyAlignment="1" applyProtection="1">
      <alignment vertical="center" wrapText="1"/>
    </xf>
    <xf numFmtId="0" fontId="0" fillId="13" borderId="8" xfId="0" applyFill="1" applyBorder="1" applyAlignment="1" applyProtection="1">
      <alignment vertical="center" wrapText="1"/>
    </xf>
    <xf numFmtId="0" fontId="0" fillId="2" borderId="29" xfId="0" applyFill="1" applyBorder="1" applyAlignment="1" applyProtection="1">
      <alignment vertical="center" wrapText="1"/>
    </xf>
    <xf numFmtId="0" fontId="0" fillId="2" borderId="50" xfId="0" applyFill="1" applyBorder="1" applyAlignment="1" applyProtection="1">
      <alignment vertical="center" wrapText="1"/>
    </xf>
    <xf numFmtId="0" fontId="0" fillId="0" borderId="0" xfId="0" applyFill="1" applyBorder="1" applyAlignment="1" applyProtection="1">
      <alignment vertical="center" wrapText="1"/>
    </xf>
    <xf numFmtId="0" fontId="0" fillId="0" borderId="2" xfId="0" applyFill="1" applyBorder="1" applyAlignment="1" applyProtection="1">
      <alignment vertical="center" wrapText="1"/>
    </xf>
    <xf numFmtId="0" fontId="0" fillId="13" borderId="13" xfId="0" applyFill="1" applyBorder="1" applyAlignment="1" applyProtection="1">
      <alignment vertical="center" wrapText="1"/>
    </xf>
    <xf numFmtId="0" fontId="0" fillId="2" borderId="32" xfId="0" applyFill="1" applyBorder="1" applyAlignment="1" applyProtection="1">
      <alignment vertical="center" wrapText="1"/>
    </xf>
    <xf numFmtId="0" fontId="0" fillId="0" borderId="19" xfId="0" applyFill="1" applyBorder="1" applyAlignment="1" applyProtection="1">
      <alignment vertical="center" wrapText="1"/>
    </xf>
    <xf numFmtId="0" fontId="0" fillId="6" borderId="49" xfId="0" applyFill="1" applyBorder="1" applyAlignment="1" applyProtection="1">
      <alignment horizontal="center" vertical="center" wrapText="1"/>
    </xf>
    <xf numFmtId="0" fontId="0" fillId="2" borderId="65" xfId="0" applyFill="1" applyBorder="1" applyAlignment="1" applyProtection="1">
      <alignment vertical="center" wrapText="1"/>
    </xf>
    <xf numFmtId="0" fontId="0" fillId="6" borderId="5" xfId="0" applyFill="1" applyBorder="1" applyAlignment="1" applyProtection="1">
      <alignment horizontal="center" vertical="center" wrapText="1"/>
    </xf>
    <xf numFmtId="0" fontId="0" fillId="2" borderId="59" xfId="0" applyFill="1" applyBorder="1" applyAlignment="1" applyProtection="1">
      <alignment vertical="center" wrapText="1"/>
    </xf>
    <xf numFmtId="0" fontId="0" fillId="2" borderId="52" xfId="0" applyFill="1" applyBorder="1" applyAlignment="1" applyProtection="1">
      <alignment vertical="center" wrapText="1"/>
    </xf>
    <xf numFmtId="0" fontId="0" fillId="13" borderId="27" xfId="0" applyFill="1" applyBorder="1" applyAlignment="1" applyProtection="1">
      <alignment horizontal="center" vertical="center" wrapText="1"/>
    </xf>
    <xf numFmtId="0" fontId="3" fillId="15" borderId="1" xfId="0" applyFont="1" applyFill="1" applyBorder="1" applyAlignment="1" applyProtection="1">
      <alignment vertical="center" wrapText="1"/>
    </xf>
    <xf numFmtId="0" fontId="3" fillId="15" borderId="3" xfId="0" applyFont="1" applyFill="1" applyBorder="1" applyAlignment="1" applyProtection="1">
      <alignment vertical="center" wrapText="1"/>
    </xf>
    <xf numFmtId="0" fontId="3" fillId="2" borderId="35" xfId="0" applyFont="1" applyFill="1" applyBorder="1" applyAlignment="1" applyProtection="1">
      <alignment horizontal="center" vertical="center" wrapText="1"/>
    </xf>
    <xf numFmtId="0" fontId="0" fillId="0" borderId="37" xfId="0" applyFill="1" applyBorder="1" applyAlignment="1" applyProtection="1">
      <alignment vertical="center" wrapText="1"/>
    </xf>
    <xf numFmtId="0" fontId="70" fillId="4" borderId="38" xfId="0" applyFont="1" applyFill="1" applyBorder="1" applyAlignment="1" applyProtection="1">
      <alignment vertical="center" wrapText="1"/>
      <protection locked="0"/>
    </xf>
    <xf numFmtId="1" fontId="0" fillId="13" borderId="57" xfId="0" applyNumberFormat="1" applyFill="1" applyBorder="1" applyAlignment="1" applyProtection="1">
      <alignment horizontal="right" vertical="center" wrapText="1"/>
    </xf>
    <xf numFmtId="0" fontId="0" fillId="0" borderId="22" xfId="0" applyFill="1" applyBorder="1" applyAlignment="1" applyProtection="1">
      <alignment vertical="center" wrapText="1"/>
    </xf>
    <xf numFmtId="0" fontId="70" fillId="4" borderId="16" xfId="0" applyFont="1" applyFill="1" applyBorder="1" applyAlignment="1" applyProtection="1">
      <alignment vertical="center" wrapText="1"/>
      <protection locked="0"/>
    </xf>
    <xf numFmtId="1" fontId="0" fillId="13" borderId="53" xfId="0" applyNumberFormat="1" applyFill="1" applyBorder="1" applyAlignment="1" applyProtection="1">
      <alignment horizontal="right" vertical="center" wrapText="1"/>
    </xf>
    <xf numFmtId="0" fontId="0" fillId="13" borderId="11" xfId="0" applyFill="1" applyBorder="1" applyAlignment="1" applyProtection="1">
      <alignment vertical="center" wrapText="1"/>
    </xf>
    <xf numFmtId="0" fontId="0" fillId="13" borderId="28" xfId="0" applyFill="1" applyBorder="1" applyAlignment="1" applyProtection="1">
      <alignment vertical="center" wrapText="1"/>
    </xf>
    <xf numFmtId="0" fontId="0" fillId="0" borderId="0" xfId="0" applyFill="1" applyAlignment="1" applyProtection="1">
      <alignment vertical="center" wrapText="1"/>
    </xf>
    <xf numFmtId="0" fontId="26" fillId="13" borderId="16" xfId="0" applyFont="1" applyFill="1" applyBorder="1" applyAlignment="1" applyProtection="1">
      <alignment vertical="center" wrapText="1"/>
    </xf>
    <xf numFmtId="0" fontId="26" fillId="13" borderId="24" xfId="0" applyFont="1" applyFill="1" applyBorder="1" applyAlignment="1" applyProtection="1">
      <alignment vertical="center" wrapText="1"/>
    </xf>
    <xf numFmtId="1" fontId="0" fillId="2" borderId="0" xfId="0" applyNumberFormat="1" applyFill="1" applyBorder="1" applyAlignment="1" applyProtection="1">
      <alignment horizontal="right" vertical="center" wrapText="1"/>
    </xf>
    <xf numFmtId="0" fontId="0" fillId="13" borderId="16" xfId="0" applyFill="1" applyBorder="1" applyAlignment="1" applyProtection="1">
      <alignment vertical="center" wrapText="1"/>
    </xf>
    <xf numFmtId="0" fontId="16" fillId="0" borderId="66" xfId="0" applyFont="1" applyFill="1" applyBorder="1" applyAlignment="1" applyProtection="1">
      <alignment vertical="center" wrapText="1"/>
    </xf>
    <xf numFmtId="0" fontId="16" fillId="2" borderId="5" xfId="0" applyFont="1" applyFill="1" applyBorder="1" applyAlignment="1" applyProtection="1">
      <alignment vertical="center" wrapText="1"/>
    </xf>
    <xf numFmtId="0" fontId="16" fillId="0" borderId="67" xfId="0" applyFont="1" applyFill="1" applyBorder="1" applyAlignment="1" applyProtection="1">
      <alignment horizontal="center" vertical="center" wrapText="1"/>
    </xf>
    <xf numFmtId="0" fontId="13" fillId="2" borderId="5" xfId="0" applyFont="1" applyFill="1" applyBorder="1" applyAlignment="1" applyProtection="1">
      <alignment horizontal="center" vertical="center" wrapText="1"/>
    </xf>
    <xf numFmtId="0" fontId="0" fillId="13" borderId="50" xfId="0" applyFill="1" applyBorder="1" applyAlignment="1" applyProtection="1">
      <alignment vertical="center" wrapText="1"/>
    </xf>
    <xf numFmtId="0" fontId="4" fillId="6" borderId="57" xfId="0" applyFont="1" applyFill="1" applyBorder="1" applyAlignment="1" applyProtection="1">
      <alignment horizontal="center" vertical="center" wrapText="1"/>
    </xf>
    <xf numFmtId="0" fontId="0" fillId="0" borderId="9" xfId="0" applyFill="1" applyBorder="1" applyAlignment="1" applyProtection="1">
      <alignment vertical="center" wrapText="1"/>
    </xf>
    <xf numFmtId="0" fontId="70" fillId="4" borderId="27" xfId="0" applyFont="1" applyFill="1" applyBorder="1" applyAlignment="1" applyProtection="1">
      <alignment vertical="center" wrapText="1"/>
      <protection locked="0"/>
    </xf>
    <xf numFmtId="0" fontId="0" fillId="2" borderId="5" xfId="0" applyFill="1" applyBorder="1" applyAlignment="1" applyProtection="1">
      <alignment vertical="center" wrapText="1"/>
    </xf>
    <xf numFmtId="0" fontId="4" fillId="6" borderId="50" xfId="0" applyFont="1" applyFill="1" applyBorder="1" applyAlignment="1" applyProtection="1">
      <alignment horizontal="center" vertical="center" wrapText="1"/>
    </xf>
    <xf numFmtId="0" fontId="0" fillId="0" borderId="46" xfId="0" applyFill="1" applyBorder="1" applyAlignment="1" applyProtection="1">
      <alignment vertical="center" wrapText="1"/>
    </xf>
    <xf numFmtId="0" fontId="0" fillId="0" borderId="25" xfId="0" applyFill="1" applyBorder="1" applyAlignment="1" applyProtection="1">
      <alignment vertical="center" wrapText="1"/>
    </xf>
    <xf numFmtId="0" fontId="0" fillId="2" borderId="7" xfId="0" applyFill="1" applyBorder="1" applyAlignment="1" applyProtection="1">
      <alignment vertical="center" wrapText="1"/>
    </xf>
    <xf numFmtId="0" fontId="0" fillId="2" borderId="17" xfId="0" applyFill="1" applyBorder="1" applyAlignment="1" applyProtection="1">
      <alignment vertical="center" wrapText="1"/>
    </xf>
    <xf numFmtId="1" fontId="0" fillId="13" borderId="58" xfId="0" applyNumberFormat="1" applyFill="1" applyBorder="1" applyAlignment="1" applyProtection="1">
      <alignment horizontal="right" vertical="center" wrapText="1"/>
    </xf>
    <xf numFmtId="0" fontId="3" fillId="15" borderId="35" xfId="0" applyFont="1" applyFill="1" applyBorder="1" applyAlignment="1" applyProtection="1">
      <alignment horizontal="center" vertical="center" wrapText="1"/>
    </xf>
    <xf numFmtId="0" fontId="3" fillId="2" borderId="0" xfId="0" applyFont="1" applyFill="1" applyBorder="1" applyAlignment="1" applyProtection="1">
      <alignment vertical="center" wrapText="1"/>
    </xf>
    <xf numFmtId="0" fontId="70" fillId="2" borderId="0" xfId="0" applyFont="1" applyFill="1" applyBorder="1" applyAlignment="1" applyProtection="1">
      <alignment vertical="center" wrapText="1"/>
    </xf>
    <xf numFmtId="0" fontId="0" fillId="0" borderId="10" xfId="0" applyFill="1" applyBorder="1" applyAlignment="1" applyProtection="1">
      <alignment vertical="center" wrapText="1"/>
    </xf>
    <xf numFmtId="0" fontId="0" fillId="0" borderId="11" xfId="0" applyFill="1" applyBorder="1" applyAlignment="1" applyProtection="1">
      <alignment vertical="center" wrapText="1"/>
    </xf>
    <xf numFmtId="1" fontId="0" fillId="13" borderId="24" xfId="0" applyNumberFormat="1" applyFill="1" applyBorder="1" applyAlignment="1" applyProtection="1">
      <alignment horizontal="right" vertical="center" wrapText="1"/>
    </xf>
    <xf numFmtId="0" fontId="0" fillId="13" borderId="60" xfId="0" applyFill="1" applyBorder="1" applyAlignment="1" applyProtection="1">
      <alignment horizontal="center" vertical="center" wrapText="1"/>
    </xf>
    <xf numFmtId="0" fontId="0" fillId="13" borderId="58" xfId="0" applyFill="1" applyBorder="1" applyAlignment="1" applyProtection="1">
      <alignment horizontal="right" vertical="center" wrapText="1"/>
    </xf>
    <xf numFmtId="1" fontId="0" fillId="13" borderId="17" xfId="0" applyNumberFormat="1" applyFill="1" applyBorder="1" applyAlignment="1" applyProtection="1">
      <alignment horizontal="center" vertical="center" wrapText="1"/>
    </xf>
    <xf numFmtId="0" fontId="3" fillId="15" borderId="39" xfId="0" applyFont="1" applyFill="1" applyBorder="1" applyAlignment="1" applyProtection="1">
      <alignment vertical="center" wrapText="1"/>
    </xf>
    <xf numFmtId="0" fontId="3" fillId="15" borderId="48" xfId="0" applyFont="1" applyFill="1" applyBorder="1" applyAlignment="1" applyProtection="1">
      <alignment vertical="center" wrapText="1"/>
    </xf>
    <xf numFmtId="0" fontId="3" fillId="15" borderId="68" xfId="0" applyFont="1" applyFill="1" applyBorder="1" applyAlignment="1" applyProtection="1">
      <alignment vertical="center" wrapText="1"/>
    </xf>
    <xf numFmtId="0" fontId="0" fillId="2" borderId="3" xfId="0" applyFill="1" applyBorder="1" applyAlignment="1" applyProtection="1">
      <alignment vertical="center" wrapText="1"/>
    </xf>
    <xf numFmtId="0" fontId="0" fillId="2" borderId="49" xfId="0" applyFill="1" applyBorder="1" applyAlignment="1" applyProtection="1">
      <alignment vertical="center" wrapText="1"/>
    </xf>
    <xf numFmtId="0" fontId="0" fillId="13" borderId="57" xfId="0" applyFill="1" applyBorder="1" applyAlignment="1" applyProtection="1">
      <alignment horizontal="right" vertical="center" wrapText="1"/>
    </xf>
    <xf numFmtId="0" fontId="26" fillId="4" borderId="38" xfId="0" applyFont="1" applyFill="1" applyBorder="1" applyAlignment="1" applyProtection="1">
      <alignment vertical="center" wrapText="1"/>
      <protection locked="0"/>
    </xf>
    <xf numFmtId="0" fontId="0" fillId="0" borderId="20" xfId="0" applyFill="1" applyBorder="1" applyAlignment="1" applyProtection="1">
      <alignment vertical="center" wrapText="1"/>
    </xf>
    <xf numFmtId="0" fontId="0" fillId="2" borderId="20" xfId="0" applyFill="1" applyBorder="1" applyAlignment="1" applyProtection="1">
      <alignment vertical="center" wrapText="1"/>
    </xf>
    <xf numFmtId="0" fontId="0" fillId="2" borderId="26" xfId="0" applyFill="1" applyBorder="1" applyAlignment="1" applyProtection="1">
      <alignment vertical="center" wrapText="1"/>
    </xf>
    <xf numFmtId="0" fontId="0" fillId="2" borderId="0" xfId="0" applyFill="1" applyBorder="1" applyAlignment="1">
      <alignment vertical="center"/>
    </xf>
    <xf numFmtId="0" fontId="0" fillId="2" borderId="0" xfId="0" applyFill="1" applyAlignment="1">
      <alignment horizontal="right" vertical="center"/>
    </xf>
    <xf numFmtId="0" fontId="0" fillId="21" borderId="2" xfId="0" applyFill="1" applyBorder="1" applyAlignment="1">
      <alignment vertical="center"/>
    </xf>
    <xf numFmtId="0" fontId="0" fillId="2" borderId="0" xfId="0" applyFill="1" applyAlignment="1" applyProtection="1">
      <alignment horizontal="right" vertical="center" wrapText="1"/>
    </xf>
    <xf numFmtId="1" fontId="70" fillId="5" borderId="13" xfId="0" applyNumberFormat="1" applyFont="1" applyFill="1" applyBorder="1" applyAlignment="1" applyProtection="1">
      <alignment horizontal="right" vertical="center" wrapText="1"/>
    </xf>
    <xf numFmtId="0" fontId="0" fillId="0" borderId="0" xfId="0" applyAlignment="1" applyProtection="1">
      <alignment horizontal="center" vertical="center" wrapText="1"/>
    </xf>
    <xf numFmtId="0" fontId="17" fillId="0" borderId="8" xfId="0" applyFont="1" applyFill="1" applyBorder="1" applyAlignment="1" applyProtection="1">
      <alignment vertical="center" wrapText="1"/>
    </xf>
    <xf numFmtId="0" fontId="17" fillId="0" borderId="2" xfId="0" applyFont="1" applyFill="1" applyBorder="1" applyAlignment="1" applyProtection="1">
      <alignment vertical="center" wrapText="1"/>
    </xf>
    <xf numFmtId="0" fontId="17" fillId="0" borderId="19" xfId="0" applyFont="1" applyFill="1" applyBorder="1" applyAlignment="1" applyProtection="1">
      <alignment vertical="center" wrapText="1"/>
    </xf>
    <xf numFmtId="0" fontId="17" fillId="0" borderId="9" xfId="0" applyFont="1" applyFill="1" applyBorder="1" applyAlignment="1" applyProtection="1">
      <alignment vertical="center" wrapText="1"/>
    </xf>
    <xf numFmtId="0" fontId="17" fillId="0" borderId="25" xfId="0" applyFont="1" applyFill="1" applyBorder="1" applyAlignment="1" applyProtection="1">
      <alignment vertical="center" wrapText="1"/>
    </xf>
    <xf numFmtId="0" fontId="17" fillId="0" borderId="69" xfId="0" applyFont="1" applyFill="1" applyBorder="1" applyAlignment="1" applyProtection="1">
      <alignment vertical="center" wrapText="1"/>
    </xf>
    <xf numFmtId="0" fontId="10" fillId="0" borderId="8" xfId="0" applyFont="1" applyFill="1" applyBorder="1" applyAlignment="1" applyProtection="1">
      <alignment vertical="center" wrapText="1"/>
    </xf>
    <xf numFmtId="0" fontId="10" fillId="0" borderId="2" xfId="0" applyFont="1" applyFill="1" applyBorder="1" applyAlignment="1" applyProtection="1">
      <alignment vertical="center" wrapText="1"/>
    </xf>
    <xf numFmtId="0" fontId="10" fillId="0" borderId="9" xfId="0" applyFont="1" applyFill="1" applyBorder="1" applyAlignment="1" applyProtection="1">
      <alignment vertical="center" wrapText="1"/>
    </xf>
    <xf numFmtId="0" fontId="17" fillId="0" borderId="11" xfId="0" applyFont="1" applyFill="1" applyBorder="1" applyAlignment="1" applyProtection="1">
      <alignment vertical="center" wrapText="1"/>
    </xf>
    <xf numFmtId="0" fontId="0" fillId="2" borderId="0" xfId="0" applyFill="1" applyAlignment="1">
      <alignment vertical="center"/>
    </xf>
    <xf numFmtId="0" fontId="3" fillId="15" borderId="10" xfId="0" applyFont="1" applyFill="1" applyBorder="1" applyAlignment="1">
      <alignment horizontal="center" vertical="center"/>
    </xf>
    <xf numFmtId="0" fontId="3" fillId="15" borderId="11" xfId="0" applyFont="1" applyFill="1" applyBorder="1" applyAlignment="1">
      <alignment horizontal="center" vertical="center"/>
    </xf>
    <xf numFmtId="0" fontId="3" fillId="15" borderId="35" xfId="0" applyFont="1" applyFill="1" applyBorder="1" applyAlignment="1" applyProtection="1">
      <alignment vertical="center"/>
    </xf>
    <xf numFmtId="0" fontId="0" fillId="0" borderId="13" xfId="0" applyFill="1" applyBorder="1" applyAlignment="1">
      <alignment vertical="center" wrapText="1"/>
    </xf>
    <xf numFmtId="0" fontId="17" fillId="0" borderId="13" xfId="0" applyFont="1" applyFill="1" applyBorder="1" applyAlignment="1">
      <alignment vertical="center" wrapText="1"/>
    </xf>
    <xf numFmtId="0" fontId="0" fillId="2" borderId="0" xfId="0" applyFill="1" applyBorder="1" applyAlignment="1">
      <alignment horizontal="center" vertical="center"/>
    </xf>
    <xf numFmtId="0" fontId="0" fillId="13" borderId="57" xfId="0" applyFill="1" applyBorder="1" applyAlignment="1" applyProtection="1">
      <alignment vertical="center"/>
    </xf>
    <xf numFmtId="0" fontId="0" fillId="0" borderId="2" xfId="0" applyFill="1" applyBorder="1" applyAlignment="1">
      <alignment vertical="center" wrapText="1"/>
    </xf>
    <xf numFmtId="0" fontId="17" fillId="0" borderId="2" xfId="0" applyFont="1" applyFill="1" applyBorder="1" applyAlignment="1">
      <alignment vertical="center" wrapText="1"/>
    </xf>
    <xf numFmtId="0" fontId="0" fillId="13" borderId="50" xfId="0" applyFill="1" applyBorder="1" applyAlignment="1" applyProtection="1">
      <alignment vertical="center"/>
    </xf>
    <xf numFmtId="0" fontId="28" fillId="2" borderId="0" xfId="0" applyFont="1" applyFill="1" applyAlignment="1">
      <alignment vertical="center"/>
    </xf>
    <xf numFmtId="0" fontId="3" fillId="2" borderId="0" xfId="0" applyFont="1" applyFill="1" applyAlignment="1">
      <alignment vertical="center"/>
    </xf>
    <xf numFmtId="0" fontId="0" fillId="0" borderId="19" xfId="0" applyFill="1" applyBorder="1" applyAlignment="1">
      <alignment vertical="center" wrapText="1"/>
    </xf>
    <xf numFmtId="0" fontId="17" fillId="0" borderId="19" xfId="0" applyFont="1" applyFill="1" applyBorder="1" applyAlignment="1">
      <alignment vertical="center" wrapText="1"/>
    </xf>
    <xf numFmtId="0" fontId="0" fillId="13" borderId="65" xfId="0" applyFill="1" applyBorder="1" applyAlignment="1" applyProtection="1">
      <alignment vertical="center"/>
    </xf>
    <xf numFmtId="0" fontId="0" fillId="0" borderId="8" xfId="0" applyFill="1" applyBorder="1" applyAlignment="1">
      <alignment vertical="center" wrapText="1"/>
    </xf>
    <xf numFmtId="0" fontId="17" fillId="0" borderId="8" xfId="0" applyFont="1" applyFill="1" applyBorder="1" applyAlignment="1">
      <alignment vertical="center" wrapText="1"/>
    </xf>
    <xf numFmtId="0" fontId="0" fillId="0" borderId="9" xfId="0" applyFill="1" applyBorder="1" applyAlignment="1">
      <alignment vertical="center" wrapText="1"/>
    </xf>
    <xf numFmtId="0" fontId="17" fillId="0" borderId="9" xfId="0" applyFont="1" applyFill="1" applyBorder="1" applyAlignment="1">
      <alignment vertical="center" wrapText="1"/>
    </xf>
    <xf numFmtId="0" fontId="0" fillId="13" borderId="58" xfId="0" applyFill="1" applyBorder="1" applyAlignment="1" applyProtection="1">
      <alignment vertical="center"/>
    </xf>
    <xf numFmtId="0" fontId="0" fillId="2" borderId="4" xfId="0" applyFill="1" applyBorder="1" applyAlignment="1">
      <alignment vertical="center"/>
    </xf>
    <xf numFmtId="0" fontId="0" fillId="2" borderId="5" xfId="0" applyFill="1" applyBorder="1" applyAlignment="1">
      <alignment vertical="center"/>
    </xf>
    <xf numFmtId="0" fontId="0" fillId="15" borderId="49" xfId="0" applyFill="1" applyBorder="1" applyAlignment="1">
      <alignment vertical="center"/>
    </xf>
    <xf numFmtId="0" fontId="0" fillId="13" borderId="35" xfId="0" applyFill="1" applyBorder="1" applyAlignment="1">
      <alignment vertical="center"/>
    </xf>
    <xf numFmtId="0" fontId="0" fillId="13" borderId="38" xfId="0" applyFill="1" applyBorder="1" applyAlignment="1">
      <alignment vertical="center"/>
    </xf>
    <xf numFmtId="0" fontId="0" fillId="2" borderId="6" xfId="0" applyFill="1" applyBorder="1" applyAlignment="1">
      <alignment vertical="center"/>
    </xf>
    <xf numFmtId="0" fontId="0" fillId="2" borderId="7" xfId="0" applyFill="1" applyBorder="1" applyAlignment="1">
      <alignment vertical="center"/>
    </xf>
    <xf numFmtId="0" fontId="0" fillId="13" borderId="27" xfId="0" applyFill="1" applyBorder="1" applyAlignment="1">
      <alignment vertical="center"/>
    </xf>
    <xf numFmtId="0" fontId="0" fillId="2" borderId="0" xfId="0" applyFill="1" applyBorder="1" applyAlignment="1">
      <alignment horizontal="left" vertical="center" wrapText="1"/>
    </xf>
    <xf numFmtId="0" fontId="18" fillId="0" borderId="1" xfId="0" applyFont="1" applyFill="1" applyBorder="1" applyAlignment="1">
      <alignment vertical="center"/>
    </xf>
    <xf numFmtId="0" fontId="0" fillId="0" borderId="49" xfId="0" applyFill="1" applyBorder="1" applyAlignment="1">
      <alignment vertical="center"/>
    </xf>
    <xf numFmtId="0" fontId="0" fillId="22" borderId="37" xfId="0" applyFill="1" applyBorder="1" applyAlignment="1">
      <alignment vertical="center"/>
    </xf>
    <xf numFmtId="0" fontId="0" fillId="0" borderId="8" xfId="0" applyFill="1" applyBorder="1" applyAlignment="1">
      <alignment vertical="center"/>
    </xf>
    <xf numFmtId="0" fontId="0" fillId="22" borderId="36" xfId="0" applyFill="1" applyBorder="1" applyAlignment="1">
      <alignment vertical="center"/>
    </xf>
    <xf numFmtId="0" fontId="0" fillId="0" borderId="9" xfId="0" applyFill="1" applyBorder="1" applyAlignment="1">
      <alignment vertical="center"/>
    </xf>
    <xf numFmtId="0" fontId="0" fillId="22" borderId="10" xfId="0" applyFill="1" applyBorder="1" applyAlignment="1">
      <alignment vertical="center"/>
    </xf>
    <xf numFmtId="0" fontId="3" fillId="0" borderId="11" xfId="0" applyFont="1" applyFill="1" applyBorder="1" applyAlignment="1">
      <alignment vertical="center" wrapText="1"/>
    </xf>
    <xf numFmtId="0" fontId="4" fillId="2" borderId="0" xfId="0" applyFont="1" applyFill="1" applyBorder="1" applyAlignment="1">
      <alignment vertical="center" wrapText="1"/>
    </xf>
    <xf numFmtId="0" fontId="56" fillId="2" borderId="0" xfId="0" applyFont="1" applyFill="1" applyBorder="1" applyAlignment="1">
      <alignment vertical="center" wrapText="1"/>
    </xf>
    <xf numFmtId="0" fontId="0" fillId="5" borderId="2" xfId="0" applyFill="1" applyBorder="1" applyAlignment="1">
      <alignment vertical="center"/>
    </xf>
    <xf numFmtId="0" fontId="26" fillId="4" borderId="16" xfId="0" applyFont="1" applyFill="1" applyBorder="1" applyAlignment="1" applyProtection="1">
      <alignment vertical="center" wrapText="1"/>
      <protection locked="0"/>
    </xf>
    <xf numFmtId="0" fontId="26" fillId="4" borderId="31" xfId="0" applyFont="1" applyFill="1" applyBorder="1" applyAlignment="1" applyProtection="1">
      <alignment vertical="center" wrapText="1"/>
      <protection locked="0"/>
    </xf>
    <xf numFmtId="0" fontId="26" fillId="4" borderId="27" xfId="0" applyFont="1" applyFill="1" applyBorder="1" applyAlignment="1" applyProtection="1">
      <alignment vertical="center" wrapText="1"/>
      <protection locked="0"/>
    </xf>
    <xf numFmtId="0" fontId="26" fillId="4" borderId="34" xfId="0" applyFont="1" applyFill="1" applyBorder="1" applyAlignment="1" applyProtection="1">
      <alignment vertical="center" wrapText="1"/>
      <protection locked="0"/>
    </xf>
    <xf numFmtId="0" fontId="1" fillId="8" borderId="0" xfId="0" applyFont="1" applyFill="1"/>
    <xf numFmtId="0" fontId="76" fillId="8" borderId="0" xfId="0" applyFont="1" applyFill="1"/>
    <xf numFmtId="0" fontId="45" fillId="2" borderId="38" xfId="0" applyFont="1" applyFill="1" applyBorder="1" applyAlignment="1" applyProtection="1"/>
    <xf numFmtId="0" fontId="45" fillId="2" borderId="27" xfId="0" applyFont="1" applyFill="1" applyBorder="1" applyAlignment="1" applyProtection="1"/>
    <xf numFmtId="0" fontId="6" fillId="0" borderId="19" xfId="0" applyFont="1" applyFill="1" applyBorder="1" applyAlignment="1">
      <alignment vertical="top" wrapText="1"/>
    </xf>
    <xf numFmtId="0" fontId="0" fillId="2" borderId="0" xfId="0" applyFill="1" applyAlignment="1" applyProtection="1">
      <alignment horizontal="left" wrapText="1"/>
    </xf>
    <xf numFmtId="0" fontId="0" fillId="22" borderId="70" xfId="0" applyNumberFormat="1" applyFill="1" applyBorder="1" applyAlignment="1" applyProtection="1">
      <alignment vertical="center" wrapText="1"/>
    </xf>
    <xf numFmtId="0" fontId="17" fillId="22" borderId="71" xfId="0" applyNumberFormat="1" applyFont="1" applyFill="1" applyBorder="1" applyAlignment="1" applyProtection="1">
      <alignment vertical="center" wrapText="1"/>
    </xf>
    <xf numFmtId="0" fontId="7" fillId="22" borderId="5" xfId="0" applyFont="1" applyFill="1" applyBorder="1" applyAlignment="1">
      <alignment vertical="top" wrapText="1"/>
    </xf>
    <xf numFmtId="1" fontId="6" fillId="8" borderId="2" xfId="0" applyNumberFormat="1" applyFont="1" applyFill="1" applyBorder="1" applyAlignment="1" applyProtection="1">
      <alignment horizontal="right" vertical="top" wrapText="1"/>
      <protection locked="0"/>
    </xf>
    <xf numFmtId="0" fontId="0" fillId="0" borderId="47" xfId="0" applyNumberFormat="1" applyFill="1" applyBorder="1" applyAlignment="1" applyProtection="1">
      <alignment horizontal="left" vertical="center" wrapText="1"/>
    </xf>
    <xf numFmtId="0" fontId="0" fillId="18" borderId="0" xfId="0" applyFill="1"/>
    <xf numFmtId="0" fontId="6" fillId="2" borderId="0" xfId="0" applyFont="1" applyFill="1"/>
    <xf numFmtId="0" fontId="24" fillId="8" borderId="22" xfId="0" applyFont="1" applyFill="1" applyBorder="1"/>
    <xf numFmtId="0" fontId="24" fillId="13" borderId="22" xfId="0" applyFont="1" applyFill="1" applyBorder="1"/>
    <xf numFmtId="0" fontId="24" fillId="3" borderId="22" xfId="0" applyFont="1" applyFill="1" applyBorder="1"/>
    <xf numFmtId="0" fontId="24" fillId="22" borderId="22" xfId="0" applyFont="1" applyFill="1" applyBorder="1"/>
    <xf numFmtId="0" fontId="24" fillId="4" borderId="42" xfId="0" applyFont="1" applyFill="1" applyBorder="1"/>
    <xf numFmtId="0" fontId="24" fillId="7" borderId="47" xfId="0" applyFont="1" applyFill="1" applyBorder="1"/>
    <xf numFmtId="0" fontId="24" fillId="2" borderId="14" xfId="0" applyFont="1" applyFill="1" applyBorder="1"/>
    <xf numFmtId="0" fontId="24" fillId="2" borderId="16" xfId="0" applyFont="1" applyFill="1" applyBorder="1"/>
    <xf numFmtId="0" fontId="24" fillId="2" borderId="31" xfId="0" applyFont="1" applyFill="1" applyBorder="1"/>
    <xf numFmtId="0" fontId="70" fillId="2" borderId="0" xfId="0" applyFont="1" applyFill="1" applyAlignment="1">
      <alignment wrapText="1"/>
    </xf>
    <xf numFmtId="0" fontId="76" fillId="2" borderId="0" xfId="0" applyFont="1" applyFill="1"/>
    <xf numFmtId="0" fontId="1" fillId="2" borderId="0" xfId="0" applyFont="1" applyFill="1"/>
    <xf numFmtId="0" fontId="0" fillId="2" borderId="0" xfId="0" applyFill="1" applyAlignment="1">
      <alignment wrapText="1"/>
    </xf>
    <xf numFmtId="0" fontId="75" fillId="7" borderId="24" xfId="0" applyFont="1" applyFill="1" applyBorder="1" applyAlignment="1">
      <alignment horizontal="center"/>
    </xf>
    <xf numFmtId="0" fontId="81" fillId="0" borderId="0" xfId="0" applyFont="1"/>
    <xf numFmtId="0" fontId="82" fillId="0" borderId="0" xfId="0" applyFont="1" applyAlignment="1">
      <alignment horizontal="center"/>
    </xf>
    <xf numFmtId="0" fontId="82" fillId="0" borderId="0" xfId="0" applyFont="1" applyFill="1" applyBorder="1" applyAlignment="1">
      <alignment horizontal="left"/>
    </xf>
    <xf numFmtId="0" fontId="82" fillId="0" borderId="0" xfId="0" applyFont="1" applyAlignment="1">
      <alignment horizontal="left"/>
    </xf>
    <xf numFmtId="0" fontId="81" fillId="0" borderId="0" xfId="0" applyFont="1" applyAlignment="1">
      <alignment horizontal="center"/>
    </xf>
    <xf numFmtId="0" fontId="83" fillId="0" borderId="2" xfId="1" applyFont="1" applyFill="1" applyBorder="1" applyAlignment="1" applyProtection="1">
      <alignment vertical="center" wrapText="1"/>
    </xf>
    <xf numFmtId="0" fontId="0" fillId="8" borderId="0" xfId="0" applyFill="1" applyProtection="1"/>
    <xf numFmtId="0" fontId="0" fillId="18" borderId="0" xfId="0" applyFill="1" applyProtection="1"/>
    <xf numFmtId="0" fontId="8" fillId="19" borderId="0" xfId="0" applyFont="1" applyFill="1" applyAlignment="1">
      <alignment horizontal="right"/>
    </xf>
    <xf numFmtId="0" fontId="8" fillId="19" borderId="0" xfId="0" applyFont="1" applyFill="1"/>
    <xf numFmtId="0" fontId="8" fillId="19" borderId="2" xfId="0" applyNumberFormat="1" applyFont="1" applyFill="1" applyBorder="1"/>
    <xf numFmtId="0" fontId="8" fillId="2" borderId="0" xfId="0" applyFont="1" applyFill="1"/>
    <xf numFmtId="0" fontId="3" fillId="2" borderId="0" xfId="0" applyFont="1" applyFill="1" applyAlignment="1">
      <alignment horizontal="right" vertical="top"/>
    </xf>
    <xf numFmtId="0" fontId="3" fillId="19" borderId="0" xfId="0" applyFont="1" applyFill="1" applyAlignment="1">
      <alignment horizontal="right" vertical="top"/>
    </xf>
    <xf numFmtId="0" fontId="0" fillId="2" borderId="2" xfId="0" quotePrefix="1" applyFill="1" applyBorder="1" applyAlignment="1" applyProtection="1">
      <alignment wrapText="1"/>
    </xf>
    <xf numFmtId="0" fontId="0" fillId="2" borderId="2" xfId="0" applyFill="1" applyBorder="1" applyAlignment="1" applyProtection="1">
      <alignment wrapText="1"/>
    </xf>
    <xf numFmtId="0" fontId="78" fillId="2" borderId="0" xfId="0" applyFont="1" applyFill="1" applyBorder="1" applyAlignment="1">
      <alignment vertical="center" wrapText="1"/>
    </xf>
    <xf numFmtId="0" fontId="79" fillId="2" borderId="0" xfId="0" applyFont="1" applyFill="1" applyBorder="1" applyAlignment="1">
      <alignment vertical="center"/>
    </xf>
    <xf numFmtId="0" fontId="17" fillId="22" borderId="30" xfId="0" applyNumberFormat="1" applyFont="1" applyFill="1" applyBorder="1" applyAlignment="1" applyProtection="1">
      <alignment vertical="center" wrapText="1"/>
    </xf>
    <xf numFmtId="1" fontId="84" fillId="0" borderId="0" xfId="0" applyNumberFormat="1" applyFont="1" applyFill="1" applyAlignment="1">
      <alignment vertical="top" wrapText="1"/>
    </xf>
    <xf numFmtId="0" fontId="84" fillId="0" borderId="0" xfId="0" applyFont="1" applyAlignment="1">
      <alignment vertical="top" wrapText="1"/>
    </xf>
    <xf numFmtId="0" fontId="0" fillId="0" borderId="0" xfId="0" applyAlignment="1">
      <alignment horizontal="left" vertical="top" wrapText="1"/>
    </xf>
    <xf numFmtId="1" fontId="0" fillId="13" borderId="2" xfId="0" applyNumberFormat="1" applyFill="1" applyBorder="1" applyAlignment="1">
      <alignment horizontal="left" vertical="top" wrapText="1"/>
    </xf>
    <xf numFmtId="1" fontId="0" fillId="13" borderId="2" xfId="0" applyNumberFormat="1" applyFill="1" applyBorder="1" applyAlignment="1">
      <alignment vertical="top" wrapText="1"/>
    </xf>
    <xf numFmtId="0" fontId="0" fillId="0" borderId="2" xfId="0" applyBorder="1"/>
    <xf numFmtId="0" fontId="0" fillId="0" borderId="39" xfId="0" applyBorder="1"/>
    <xf numFmtId="0" fontId="0" fillId="0" borderId="8" xfId="0" applyBorder="1"/>
    <xf numFmtId="0" fontId="0" fillId="0" borderId="46" xfId="0" applyBorder="1"/>
    <xf numFmtId="0" fontId="0" fillId="0" borderId="9" xfId="0" applyBorder="1"/>
    <xf numFmtId="0" fontId="0" fillId="0" borderId="44" xfId="0" applyBorder="1"/>
    <xf numFmtId="0" fontId="0" fillId="0" borderId="72" xfId="0" applyBorder="1"/>
    <xf numFmtId="0" fontId="0" fillId="0" borderId="60" xfId="0" applyBorder="1"/>
    <xf numFmtId="0" fontId="0" fillId="0" borderId="38" xfId="0" applyBorder="1"/>
    <xf numFmtId="0" fontId="0" fillId="0" borderId="16" xfId="0" applyBorder="1"/>
    <xf numFmtId="0" fontId="0" fillId="0" borderId="27" xfId="0" applyBorder="1"/>
    <xf numFmtId="0" fontId="41" fillId="2" borderId="0" xfId="0" applyFont="1" applyFill="1" applyBorder="1" applyAlignment="1">
      <alignment horizontal="center" vertical="top"/>
    </xf>
    <xf numFmtId="0" fontId="0" fillId="0" borderId="37" xfId="0" applyBorder="1"/>
    <xf numFmtId="0" fontId="0" fillId="0" borderId="22" xfId="0" applyBorder="1"/>
    <xf numFmtId="0" fontId="0" fillId="0" borderId="36" xfId="0" applyBorder="1"/>
    <xf numFmtId="2" fontId="3" fillId="0" borderId="31" xfId="0" applyNumberFormat="1" applyFont="1" applyFill="1" applyBorder="1" applyAlignment="1">
      <alignment horizontal="left" vertical="top" wrapText="1"/>
    </xf>
    <xf numFmtId="0" fontId="0" fillId="0" borderId="19" xfId="0" applyFill="1" applyBorder="1" applyAlignment="1">
      <alignment horizontal="center" vertical="top" wrapText="1"/>
    </xf>
    <xf numFmtId="2" fontId="0" fillId="0" borderId="19" xfId="0" applyNumberFormat="1" applyBorder="1" applyAlignment="1">
      <alignment vertical="top" wrapText="1"/>
    </xf>
    <xf numFmtId="3" fontId="0" fillId="0" borderId="0" xfId="0" applyNumberFormat="1" applyFill="1" applyBorder="1" applyAlignment="1">
      <alignment vertical="top" wrapText="1"/>
    </xf>
    <xf numFmtId="0" fontId="69" fillId="0" borderId="0" xfId="0" applyFont="1" applyFill="1" applyAlignment="1">
      <alignment horizontal="center" vertical="top" wrapText="1"/>
    </xf>
    <xf numFmtId="0" fontId="86" fillId="2" borderId="0" xfId="0" applyFont="1" applyFill="1" applyAlignment="1">
      <alignment wrapText="1"/>
    </xf>
    <xf numFmtId="0" fontId="26" fillId="2" borderId="0" xfId="0" applyFont="1" applyFill="1" applyBorder="1" applyAlignment="1">
      <alignment horizontal="left" vertical="top"/>
    </xf>
    <xf numFmtId="0" fontId="88" fillId="2" borderId="0" xfId="0" applyFont="1" applyFill="1" applyAlignment="1" applyProtection="1">
      <alignment vertical="center" wrapText="1"/>
    </xf>
    <xf numFmtId="0" fontId="88" fillId="2" borderId="0" xfId="0" applyNumberFormat="1" applyFont="1" applyFill="1" applyBorder="1" applyAlignment="1" applyProtection="1">
      <alignment vertical="center" wrapText="1"/>
    </xf>
    <xf numFmtId="0" fontId="88" fillId="2" borderId="5" xfId="0" applyNumberFormat="1" applyFont="1" applyFill="1" applyBorder="1" applyAlignment="1" applyProtection="1">
      <alignment vertical="center" wrapText="1"/>
    </xf>
    <xf numFmtId="0" fontId="88" fillId="2" borderId="5" xfId="0" applyNumberFormat="1" applyFont="1" applyFill="1" applyBorder="1" applyAlignment="1" applyProtection="1">
      <alignment horizontal="center" vertical="center" wrapText="1"/>
    </xf>
    <xf numFmtId="0" fontId="88" fillId="2" borderId="0" xfId="0" applyNumberFormat="1" applyFont="1" applyFill="1" applyBorder="1" applyAlignment="1" applyProtection="1">
      <alignment horizontal="right" vertical="center" wrapText="1"/>
    </xf>
    <xf numFmtId="0" fontId="0" fillId="0" borderId="0" xfId="0" applyAlignment="1">
      <alignment vertical="center" wrapText="1"/>
    </xf>
    <xf numFmtId="0" fontId="0" fillId="2" borderId="0" xfId="0" applyFill="1" applyAlignment="1">
      <alignment vertical="center" wrapText="1"/>
    </xf>
    <xf numFmtId="0" fontId="8" fillId="2" borderId="0" xfId="0" applyFont="1" applyFill="1" applyBorder="1" applyAlignment="1">
      <alignment vertical="center" wrapText="1"/>
    </xf>
    <xf numFmtId="0" fontId="69" fillId="2" borderId="0" xfId="0" applyFont="1" applyFill="1" applyBorder="1" applyAlignment="1" applyProtection="1">
      <alignment horizontal="center" vertical="center" wrapText="1"/>
    </xf>
    <xf numFmtId="0" fontId="1" fillId="2" borderId="0" xfId="0" applyFont="1" applyFill="1" applyAlignment="1" applyProtection="1">
      <alignment vertical="center" wrapText="1"/>
    </xf>
    <xf numFmtId="0" fontId="24" fillId="4" borderId="37" xfId="0" applyFont="1" applyFill="1" applyBorder="1"/>
    <xf numFmtId="0" fontId="24" fillId="2" borderId="38" xfId="0" applyFont="1" applyFill="1" applyBorder="1"/>
    <xf numFmtId="0" fontId="24" fillId="7" borderId="22" xfId="0" applyFont="1" applyFill="1" applyBorder="1"/>
    <xf numFmtId="0" fontId="24" fillId="20" borderId="36" xfId="0" applyFont="1" applyFill="1" applyBorder="1"/>
    <xf numFmtId="0" fontId="24" fillId="2" borderId="27" xfId="0" applyFont="1" applyFill="1" applyBorder="1"/>
    <xf numFmtId="0" fontId="11" fillId="6" borderId="26" xfId="0" applyFont="1" applyFill="1" applyBorder="1" applyAlignment="1" applyProtection="1">
      <alignment vertical="center" wrapText="1"/>
    </xf>
    <xf numFmtId="0" fontId="41" fillId="6" borderId="26" xfId="0" applyFont="1" applyFill="1" applyBorder="1" applyAlignment="1" applyProtection="1">
      <alignment vertical="center" wrapText="1"/>
    </xf>
    <xf numFmtId="0" fontId="90" fillId="2" borderId="0" xfId="0" applyFont="1" applyFill="1" applyProtection="1"/>
    <xf numFmtId="0" fontId="92" fillId="11" borderId="2" xfId="0" applyFont="1" applyFill="1" applyBorder="1" applyProtection="1"/>
    <xf numFmtId="0" fontId="91" fillId="11" borderId="2" xfId="0" quotePrefix="1" applyFont="1" applyFill="1" applyBorder="1" applyAlignment="1" applyProtection="1">
      <alignment wrapText="1"/>
    </xf>
    <xf numFmtId="0" fontId="92" fillId="2" borderId="0" xfId="0" applyFont="1" applyFill="1" applyProtection="1"/>
    <xf numFmtId="0" fontId="0" fillId="2" borderId="0" xfId="0" applyFill="1" applyAlignment="1" applyProtection="1">
      <alignment wrapText="1"/>
    </xf>
    <xf numFmtId="1" fontId="45" fillId="0" borderId="2" xfId="0" applyNumberFormat="1" applyFont="1" applyFill="1" applyBorder="1" applyAlignment="1" applyProtection="1"/>
    <xf numFmtId="0" fontId="48" fillId="2" borderId="54" xfId="0" applyFont="1" applyFill="1" applyBorder="1" applyAlignment="1">
      <alignment wrapText="1"/>
    </xf>
    <xf numFmtId="0" fontId="0" fillId="2" borderId="0" xfId="0" applyFill="1" applyAlignment="1">
      <alignment horizontal="center" vertical="center" wrapText="1"/>
    </xf>
    <xf numFmtId="0" fontId="70" fillId="2" borderId="54" xfId="0" applyFont="1" applyFill="1" applyBorder="1" applyAlignment="1">
      <alignment horizontal="center" vertical="center" wrapText="1"/>
    </xf>
    <xf numFmtId="0" fontId="8" fillId="2" borderId="0" xfId="0" applyFont="1" applyFill="1" applyAlignment="1">
      <alignment horizontal="center" vertical="center" wrapText="1"/>
    </xf>
    <xf numFmtId="0" fontId="84" fillId="11" borderId="73" xfId="0" applyFont="1" applyFill="1" applyBorder="1" applyAlignment="1">
      <alignment horizontal="left" vertical="top"/>
    </xf>
    <xf numFmtId="0" fontId="84" fillId="11" borderId="74" xfId="0" applyFont="1" applyFill="1" applyBorder="1" applyAlignment="1">
      <alignment horizontal="left" vertical="top"/>
    </xf>
    <xf numFmtId="0" fontId="84" fillId="11" borderId="12" xfId="0" applyFont="1" applyFill="1" applyBorder="1" applyAlignment="1">
      <alignment horizontal="left" vertical="top"/>
    </xf>
    <xf numFmtId="0" fontId="24" fillId="2" borderId="0" xfId="0" applyFont="1" applyFill="1" applyBorder="1" applyAlignment="1">
      <alignment horizontal="left"/>
    </xf>
    <xf numFmtId="0" fontId="6" fillId="2" borderId="0" xfId="0" applyFont="1" applyFill="1" applyBorder="1"/>
    <xf numFmtId="0" fontId="1" fillId="0" borderId="2" xfId="0" applyFont="1" applyFill="1" applyBorder="1" applyAlignment="1" applyProtection="1">
      <alignment vertical="center" wrapText="1"/>
    </xf>
    <xf numFmtId="164" fontId="0" fillId="0" borderId="0" xfId="0" applyNumberFormat="1"/>
    <xf numFmtId="20" fontId="0" fillId="0" borderId="0" xfId="0" applyNumberFormat="1"/>
    <xf numFmtId="0" fontId="6" fillId="2" borderId="0" xfId="0" applyFont="1" applyFill="1" applyBorder="1" applyAlignment="1" applyProtection="1">
      <alignment horizontal="center" vertical="top" wrapText="1"/>
      <protection locked="0"/>
    </xf>
    <xf numFmtId="0" fontId="26" fillId="13" borderId="2" xfId="0" applyNumberFormat="1" applyFont="1" applyFill="1" applyBorder="1" applyAlignment="1" applyProtection="1">
      <alignment vertical="center" wrapText="1"/>
    </xf>
    <xf numFmtId="0" fontId="0" fillId="0" borderId="13" xfId="0" applyFill="1" applyBorder="1" applyAlignment="1" applyProtection="1">
      <alignment vertical="center" wrapText="1"/>
    </xf>
    <xf numFmtId="0" fontId="17" fillId="0" borderId="13" xfId="0" applyFont="1" applyFill="1" applyBorder="1" applyAlignment="1" applyProtection="1">
      <alignment vertical="center" wrapText="1"/>
    </xf>
    <xf numFmtId="0" fontId="26" fillId="13" borderId="14" xfId="0" applyFont="1" applyFill="1" applyBorder="1" applyAlignment="1" applyProtection="1">
      <alignment vertical="center" wrapText="1"/>
    </xf>
    <xf numFmtId="0" fontId="3" fillId="2" borderId="0"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70" fillId="13" borderId="16" xfId="0" applyFont="1" applyFill="1" applyBorder="1" applyAlignment="1" applyProtection="1">
      <alignment vertical="center" wrapText="1"/>
    </xf>
    <xf numFmtId="0" fontId="4" fillId="22" borderId="8" xfId="0" applyFont="1" applyFill="1" applyBorder="1" applyAlignment="1" applyProtection="1">
      <alignment vertical="center" wrapText="1"/>
    </xf>
    <xf numFmtId="0" fontId="80" fillId="13" borderId="16" xfId="0" applyFont="1" applyFill="1" applyBorder="1" applyAlignment="1" applyProtection="1">
      <alignment vertical="top" wrapText="1"/>
    </xf>
    <xf numFmtId="0" fontId="0" fillId="2" borderId="4" xfId="0" applyFill="1" applyBorder="1" applyAlignment="1" applyProtection="1">
      <alignment horizontal="left" vertical="center" wrapText="1"/>
    </xf>
    <xf numFmtId="0" fontId="45" fillId="0" borderId="2" xfId="0" applyFont="1" applyFill="1" applyBorder="1" applyAlignment="1">
      <alignment vertical="center"/>
    </xf>
    <xf numFmtId="0" fontId="45" fillId="0" borderId="31" xfId="0" applyFont="1" applyFill="1" applyBorder="1" applyAlignment="1">
      <alignment vertical="top" wrapText="1"/>
    </xf>
    <xf numFmtId="0" fontId="36" fillId="2" borderId="0" xfId="0" applyFont="1" applyFill="1" applyBorder="1" applyAlignment="1">
      <alignment horizontal="center"/>
    </xf>
    <xf numFmtId="0" fontId="4" fillId="2" borderId="0" xfId="0" applyFont="1" applyFill="1" applyBorder="1" applyAlignment="1">
      <alignment horizontal="left"/>
    </xf>
    <xf numFmtId="0" fontId="94" fillId="2" borderId="0" xfId="0" applyFont="1" applyFill="1" applyBorder="1"/>
    <xf numFmtId="0" fontId="0" fillId="2" borderId="0" xfId="0" applyFill="1" applyBorder="1" applyAlignment="1"/>
    <xf numFmtId="0" fontId="4" fillId="2" borderId="0" xfId="0" applyFont="1" applyFill="1" applyBorder="1" applyAlignment="1"/>
    <xf numFmtId="0" fontId="43" fillId="2" borderId="0" xfId="0" applyFont="1" applyFill="1" applyBorder="1" applyAlignment="1">
      <alignment horizontal="left"/>
    </xf>
    <xf numFmtId="0" fontId="0" fillId="7" borderId="2" xfId="0" applyFill="1" applyBorder="1"/>
    <xf numFmtId="1" fontId="0" fillId="7" borderId="2" xfId="0" applyNumberFormat="1" applyFill="1" applyBorder="1"/>
    <xf numFmtId="20" fontId="0" fillId="7" borderId="2" xfId="0" applyNumberFormat="1" applyFill="1" applyBorder="1"/>
    <xf numFmtId="0" fontId="6" fillId="0" borderId="19" xfId="0" applyFont="1" applyFill="1" applyBorder="1" applyAlignment="1" applyProtection="1">
      <alignment vertical="top" wrapText="1"/>
    </xf>
    <xf numFmtId="1" fontId="0" fillId="13" borderId="38" xfId="0" applyNumberFormat="1" applyFill="1" applyBorder="1" applyAlignment="1" applyProtection="1">
      <alignment vertical="top" wrapText="1"/>
    </xf>
    <xf numFmtId="1" fontId="0" fillId="4" borderId="27" xfId="0" applyNumberFormat="1" applyFill="1" applyBorder="1" applyAlignment="1" applyProtection="1">
      <alignment vertical="top" wrapText="1"/>
      <protection locked="0"/>
    </xf>
    <xf numFmtId="167" fontId="6" fillId="4" borderId="8" xfId="0" applyNumberFormat="1" applyFont="1" applyFill="1" applyBorder="1" applyAlignment="1" applyProtection="1">
      <alignment horizontal="center" vertical="top" wrapText="1"/>
      <protection locked="0"/>
    </xf>
    <xf numFmtId="0" fontId="6" fillId="2" borderId="3" xfId="0" applyFont="1" applyFill="1" applyBorder="1" applyAlignment="1" applyProtection="1">
      <alignment vertical="top" wrapText="1"/>
      <protection locked="0"/>
    </xf>
    <xf numFmtId="167" fontId="6" fillId="4" borderId="9" xfId="0" applyNumberFormat="1" applyFont="1" applyFill="1" applyBorder="1" applyAlignment="1" applyProtection="1">
      <alignment horizontal="center" vertical="top" wrapText="1"/>
      <protection locked="0"/>
    </xf>
    <xf numFmtId="0" fontId="6" fillId="2" borderId="7" xfId="0" applyFont="1" applyFill="1" applyBorder="1" applyAlignment="1" applyProtection="1">
      <alignment vertical="top" wrapText="1"/>
      <protection locked="0"/>
    </xf>
    <xf numFmtId="0" fontId="0" fillId="2" borderId="2" xfId="0" quotePrefix="1" applyNumberFormat="1" applyFill="1" applyBorder="1" applyAlignment="1" applyProtection="1">
      <alignment wrapText="1"/>
    </xf>
    <xf numFmtId="0" fontId="0" fillId="2" borderId="0" xfId="0" quotePrefix="1" applyFill="1" applyProtection="1"/>
    <xf numFmtId="0" fontId="1" fillId="2" borderId="0" xfId="0" applyFont="1" applyFill="1" applyAlignment="1" applyProtection="1">
      <alignment horizontal="left"/>
    </xf>
    <xf numFmtId="0" fontId="1" fillId="2" borderId="0" xfId="0" applyFont="1" applyFill="1" applyProtection="1"/>
    <xf numFmtId="0" fontId="1" fillId="2" borderId="0" xfId="0" quotePrefix="1" applyFont="1" applyFill="1" applyAlignment="1" applyProtection="1">
      <alignment horizontal="left"/>
    </xf>
    <xf numFmtId="0" fontId="8" fillId="4" borderId="2" xfId="0" applyFont="1" applyFill="1" applyBorder="1" applyAlignment="1">
      <alignment horizontal="center" vertical="center" wrapText="1"/>
    </xf>
    <xf numFmtId="0" fontId="45" fillId="9" borderId="2" xfId="0" applyFont="1" applyFill="1" applyBorder="1" applyAlignment="1" applyProtection="1">
      <alignment horizontal="center"/>
    </xf>
    <xf numFmtId="1" fontId="45" fillId="4" borderId="2" xfId="0" applyNumberFormat="1" applyFont="1" applyFill="1" applyBorder="1" applyAlignment="1" applyProtection="1">
      <alignment vertical="top" wrapText="1"/>
    </xf>
    <xf numFmtId="0" fontId="45" fillId="0" borderId="0" xfId="0" applyFont="1" applyFill="1" applyBorder="1" applyProtection="1"/>
    <xf numFmtId="0" fontId="8" fillId="10" borderId="47" xfId="0" applyFont="1" applyFill="1" applyBorder="1" applyAlignment="1">
      <alignment horizontal="center" vertical="center" wrapText="1"/>
    </xf>
    <xf numFmtId="1" fontId="45" fillId="11" borderId="19" xfId="0" applyNumberFormat="1" applyFont="1" applyFill="1" applyBorder="1" applyAlignment="1" applyProtection="1">
      <alignment horizontal="center"/>
    </xf>
    <xf numFmtId="1" fontId="45" fillId="8" borderId="19" xfId="0" applyNumberFormat="1" applyFont="1" applyFill="1" applyBorder="1" applyAlignment="1" applyProtection="1">
      <alignment horizontal="center"/>
    </xf>
    <xf numFmtId="164" fontId="45" fillId="4" borderId="2" xfId="0" applyNumberFormat="1" applyFont="1" applyFill="1" applyBorder="1" applyProtection="1"/>
    <xf numFmtId="168" fontId="97" fillId="4" borderId="2" xfId="0" applyNumberFormat="1" applyFont="1" applyFill="1" applyBorder="1" applyAlignment="1">
      <alignment horizontal="center" vertical="center" textRotation="90" wrapText="1"/>
    </xf>
    <xf numFmtId="1" fontId="7" fillId="13" borderId="31" xfId="0" applyNumberFormat="1" applyFont="1" applyFill="1" applyBorder="1" applyAlignment="1">
      <alignment vertical="top" wrapText="1"/>
    </xf>
    <xf numFmtId="1" fontId="45" fillId="14" borderId="50" xfId="0" applyNumberFormat="1" applyFont="1" applyFill="1" applyBorder="1" applyAlignment="1" applyProtection="1"/>
    <xf numFmtId="1" fontId="3" fillId="13" borderId="27" xfId="0" applyNumberFormat="1" applyFont="1" applyFill="1" applyBorder="1" applyAlignment="1" applyProtection="1">
      <alignment horizontal="center" vertical="center" wrapText="1"/>
    </xf>
    <xf numFmtId="0" fontId="10" fillId="22" borderId="8" xfId="0" applyFont="1" applyFill="1" applyBorder="1" applyAlignment="1" applyProtection="1">
      <alignment vertical="center" wrapText="1"/>
    </xf>
    <xf numFmtId="0" fontId="100" fillId="0" borderId="2" xfId="0" applyFont="1" applyFill="1" applyBorder="1" applyAlignment="1" applyProtection="1">
      <alignment vertical="center" wrapText="1"/>
    </xf>
    <xf numFmtId="0" fontId="45" fillId="7" borderId="30" xfId="0" applyFont="1" applyFill="1" applyBorder="1" applyAlignment="1">
      <alignment horizontal="left" vertical="top" wrapText="1"/>
    </xf>
    <xf numFmtId="0" fontId="45" fillId="7" borderId="75" xfId="0" applyFont="1" applyFill="1" applyBorder="1" applyAlignment="1">
      <alignment horizontal="left" vertical="top" wrapText="1"/>
    </xf>
    <xf numFmtId="0" fontId="8" fillId="14" borderId="50" xfId="0" applyFont="1" applyFill="1" applyBorder="1" applyAlignment="1" applyProtection="1">
      <alignment horizontal="center"/>
    </xf>
    <xf numFmtId="0" fontId="45" fillId="0" borderId="37" xfId="0" applyFont="1" applyFill="1" applyBorder="1" applyAlignment="1">
      <alignment vertical="center" wrapText="1"/>
    </xf>
    <xf numFmtId="0" fontId="0" fillId="2" borderId="0" xfId="0" applyFill="1" applyBorder="1" applyAlignment="1">
      <alignment horizontal="center"/>
    </xf>
    <xf numFmtId="0" fontId="94" fillId="2" borderId="0" xfId="0" applyFont="1" applyFill="1" applyBorder="1" applyAlignment="1">
      <alignment horizontal="center"/>
    </xf>
    <xf numFmtId="0" fontId="0" fillId="2" borderId="0" xfId="0" applyFill="1" applyBorder="1" applyAlignment="1">
      <alignment horizontal="left"/>
    </xf>
    <xf numFmtId="0" fontId="37" fillId="2" borderId="0" xfId="0" applyFont="1" applyFill="1" applyBorder="1" applyAlignment="1">
      <alignment horizontal="center"/>
    </xf>
    <xf numFmtId="0" fontId="36" fillId="2" borderId="0" xfId="0" applyFont="1" applyFill="1" applyBorder="1"/>
    <xf numFmtId="0" fontId="45" fillId="14" borderId="57" xfId="0" applyFont="1" applyFill="1" applyBorder="1" applyAlignment="1">
      <alignment horizontal="center" wrapText="1"/>
    </xf>
    <xf numFmtId="0" fontId="45" fillId="14" borderId="50" xfId="0" applyFont="1" applyFill="1" applyBorder="1" applyAlignment="1">
      <alignment horizontal="center" wrapText="1"/>
    </xf>
    <xf numFmtId="0" fontId="8" fillId="14" borderId="50" xfId="0" applyFont="1" applyFill="1" applyBorder="1" applyAlignment="1" applyProtection="1">
      <alignment horizontal="center"/>
      <protection locked="0"/>
    </xf>
    <xf numFmtId="0" fontId="3" fillId="0" borderId="2" xfId="0" applyFont="1" applyBorder="1"/>
    <xf numFmtId="0" fontId="45" fillId="0" borderId="0" xfId="0" applyFont="1" applyFill="1" applyBorder="1" applyAlignment="1" applyProtection="1">
      <alignment horizontal="center"/>
      <protection locked="0"/>
    </xf>
    <xf numFmtId="0" fontId="45" fillId="14" borderId="57" xfId="0" applyFont="1" applyFill="1" applyBorder="1" applyAlignment="1">
      <alignment horizontal="center"/>
    </xf>
    <xf numFmtId="0" fontId="45" fillId="14" borderId="50" xfId="0" applyFont="1" applyFill="1" applyBorder="1" applyAlignment="1">
      <alignment horizontal="center"/>
    </xf>
    <xf numFmtId="0" fontId="45" fillId="14" borderId="58" xfId="0" applyFont="1" applyFill="1" applyBorder="1" applyAlignment="1">
      <alignment horizontal="center"/>
    </xf>
    <xf numFmtId="14" fontId="45" fillId="14" borderId="2" xfId="0" applyNumberFormat="1" applyFont="1" applyFill="1" applyBorder="1" applyAlignment="1" applyProtection="1">
      <alignment horizontal="center" vertical="top" wrapText="1"/>
      <protection locked="0"/>
    </xf>
    <xf numFmtId="16" fontId="0" fillId="2" borderId="0" xfId="0" applyNumberFormat="1" applyFill="1"/>
    <xf numFmtId="166" fontId="0" fillId="2" borderId="0" xfId="0" applyNumberFormat="1" applyFill="1"/>
    <xf numFmtId="22" fontId="0" fillId="2" borderId="0" xfId="0" applyNumberFormat="1" applyFill="1"/>
    <xf numFmtId="0" fontId="3" fillId="2" borderId="0" xfId="0" applyFont="1" applyFill="1" applyBorder="1"/>
    <xf numFmtId="0" fontId="37" fillId="2" borderId="0" xfId="0" applyFont="1" applyFill="1" applyBorder="1"/>
    <xf numFmtId="0" fontId="94" fillId="2" borderId="0" xfId="0" applyFont="1" applyFill="1" applyBorder="1" applyAlignment="1" applyProtection="1">
      <alignment vertical="center" wrapText="1"/>
    </xf>
    <xf numFmtId="17" fontId="94" fillId="2" borderId="0" xfId="0" applyNumberFormat="1" applyFont="1" applyFill="1" applyBorder="1" applyAlignment="1" applyProtection="1">
      <alignment vertical="center" wrapText="1"/>
    </xf>
    <xf numFmtId="14" fontId="45" fillId="0" borderId="0" xfId="0" applyNumberFormat="1" applyFont="1" applyFill="1" applyBorder="1" applyAlignment="1">
      <alignment wrapText="1"/>
    </xf>
    <xf numFmtId="0" fontId="48" fillId="0" borderId="0" xfId="0" applyFont="1" applyFill="1" applyBorder="1" applyAlignment="1">
      <alignment horizontal="center" vertical="center"/>
    </xf>
    <xf numFmtId="0" fontId="45" fillId="0" borderId="0" xfId="0" applyFont="1" applyFill="1" applyBorder="1" applyAlignment="1">
      <alignment horizontal="left"/>
    </xf>
    <xf numFmtId="0" fontId="80" fillId="0" borderId="0" xfId="0" applyFont="1" applyFill="1" applyBorder="1" applyAlignment="1">
      <alignment horizontal="center" vertical="center"/>
    </xf>
    <xf numFmtId="0" fontId="6" fillId="2" borderId="4" xfId="0" applyFont="1" applyFill="1" applyBorder="1" applyAlignment="1">
      <alignment horizontal="left" vertical="top" wrapText="1"/>
    </xf>
    <xf numFmtId="0" fontId="8" fillId="2" borderId="5" xfId="0" applyFont="1" applyFill="1" applyBorder="1" applyAlignment="1" applyProtection="1">
      <alignment horizontal="center" vertical="center" wrapText="1"/>
    </xf>
    <xf numFmtId="0" fontId="24" fillId="7" borderId="44" xfId="0" applyFont="1" applyFill="1" applyBorder="1"/>
    <xf numFmtId="0" fontId="24" fillId="2" borderId="32" xfId="0" applyFont="1" applyFill="1" applyBorder="1"/>
    <xf numFmtId="1" fontId="3" fillId="8" borderId="60" xfId="0" applyNumberFormat="1" applyFont="1" applyFill="1" applyBorder="1" applyAlignment="1">
      <alignment vertical="top" wrapText="1"/>
    </xf>
    <xf numFmtId="0" fontId="0" fillId="0" borderId="0" xfId="0" applyBorder="1" applyAlignment="1"/>
    <xf numFmtId="0" fontId="81" fillId="0" borderId="0" xfId="0" applyFont="1" applyFill="1" applyBorder="1" applyAlignment="1">
      <alignment horizontal="center"/>
    </xf>
    <xf numFmtId="0" fontId="81" fillId="0" borderId="0" xfId="0" applyFont="1" applyFill="1" applyBorder="1"/>
    <xf numFmtId="0" fontId="107" fillId="0" borderId="0" xfId="1" applyFont="1" applyFill="1" applyBorder="1" applyAlignment="1" applyProtection="1">
      <alignment horizontal="center"/>
    </xf>
    <xf numFmtId="0" fontId="81" fillId="0" borderId="0" xfId="0" applyFont="1" applyFill="1" applyBorder="1" applyAlignment="1">
      <alignment horizontal="left"/>
    </xf>
    <xf numFmtId="0" fontId="80" fillId="0" borderId="0" xfId="0" applyFont="1" applyFill="1" applyBorder="1"/>
    <xf numFmtId="0" fontId="82" fillId="0" borderId="0" xfId="0" applyFont="1" applyFill="1" applyBorder="1" applyAlignment="1">
      <alignment horizontal="center" vertical="center"/>
    </xf>
    <xf numFmtId="0" fontId="82" fillId="0" borderId="0" xfId="0" applyFont="1" applyFill="1" applyBorder="1" applyAlignment="1">
      <alignment horizontal="center" vertical="center" wrapText="1"/>
    </xf>
    <xf numFmtId="0" fontId="56" fillId="0" borderId="0" xfId="0" applyFont="1" applyFill="1" applyBorder="1" applyAlignment="1"/>
    <xf numFmtId="0" fontId="8" fillId="8" borderId="2" xfId="0" applyFont="1" applyFill="1" applyBorder="1" applyAlignment="1">
      <alignment horizontal="center" vertical="center"/>
    </xf>
    <xf numFmtId="0" fontId="8" fillId="8" borderId="2" xfId="0" applyFont="1" applyFill="1" applyBorder="1" applyAlignment="1">
      <alignment horizontal="center" vertical="center" wrapText="1"/>
    </xf>
    <xf numFmtId="0" fontId="8" fillId="8" borderId="2" xfId="0" applyFont="1" applyFill="1" applyBorder="1" applyAlignment="1">
      <alignment horizontal="center"/>
    </xf>
    <xf numFmtId="0" fontId="102" fillId="0" borderId="2" xfId="2" applyFont="1" applyFill="1" applyBorder="1" applyAlignment="1">
      <alignment wrapText="1"/>
    </xf>
    <xf numFmtId="0" fontId="45" fillId="0" borderId="2" xfId="0" applyFont="1" applyBorder="1" applyAlignment="1"/>
    <xf numFmtId="0" fontId="108" fillId="0" borderId="2" xfId="2" applyFont="1" applyFill="1" applyBorder="1" applyAlignment="1">
      <alignment wrapText="1"/>
    </xf>
    <xf numFmtId="0" fontId="102" fillId="0" borderId="2" xfId="0" applyFont="1" applyBorder="1" applyAlignment="1">
      <alignment wrapText="1"/>
    </xf>
    <xf numFmtId="0" fontId="102" fillId="0" borderId="2" xfId="0" applyFont="1" applyBorder="1" applyAlignment="1"/>
    <xf numFmtId="0" fontId="102" fillId="0" borderId="2" xfId="2" quotePrefix="1" applyFont="1" applyFill="1" applyBorder="1" applyAlignment="1">
      <alignment wrapText="1"/>
    </xf>
    <xf numFmtId="0" fontId="45" fillId="0" borderId="0" xfId="0" applyFont="1" applyBorder="1" applyAlignment="1"/>
    <xf numFmtId="0" fontId="58" fillId="8" borderId="2" xfId="0" applyFont="1" applyFill="1" applyBorder="1" applyAlignment="1">
      <alignment horizontal="center" vertical="center"/>
    </xf>
    <xf numFmtId="0" fontId="58" fillId="8" borderId="2" xfId="0" applyFont="1" applyFill="1" applyBorder="1" applyAlignment="1">
      <alignment horizontal="center" vertical="center" wrapText="1"/>
    </xf>
    <xf numFmtId="0" fontId="10" fillId="0" borderId="2" xfId="0" applyFont="1" applyBorder="1" applyAlignment="1">
      <alignment horizontal="left"/>
    </xf>
    <xf numFmtId="0" fontId="10" fillId="0" borderId="2" xfId="0" applyFont="1" applyBorder="1"/>
    <xf numFmtId="0" fontId="10" fillId="0" borderId="2" xfId="0" quotePrefix="1" applyFont="1" applyBorder="1"/>
    <xf numFmtId="0" fontId="10" fillId="0" borderId="2" xfId="0" applyFont="1" applyFill="1" applyBorder="1" applyAlignment="1">
      <alignment horizontal="left"/>
    </xf>
    <xf numFmtId="0" fontId="10" fillId="0" borderId="2" xfId="0" applyFont="1" applyFill="1" applyBorder="1"/>
    <xf numFmtId="0" fontId="26" fillId="4" borderId="19" xfId="0" applyNumberFormat="1" applyFont="1" applyFill="1" applyBorder="1" applyAlignment="1" applyProtection="1">
      <alignment vertical="center" wrapText="1"/>
      <protection locked="0"/>
    </xf>
    <xf numFmtId="0" fontId="26" fillId="4" borderId="13" xfId="0" applyFont="1" applyFill="1" applyBorder="1" applyAlignment="1" applyProtection="1">
      <alignment vertical="center" wrapText="1"/>
      <protection locked="0"/>
    </xf>
    <xf numFmtId="0" fontId="80" fillId="2" borderId="0" xfId="0" applyFont="1" applyFill="1" applyAlignment="1">
      <alignment vertical="top"/>
    </xf>
    <xf numFmtId="0" fontId="0" fillId="13" borderId="2" xfId="0" applyFill="1" applyBorder="1" applyAlignment="1" applyProtection="1">
      <alignment horizontal="center" vertical="center" wrapText="1"/>
    </xf>
    <xf numFmtId="0" fontId="17" fillId="15" borderId="0" xfId="0" applyFont="1" applyFill="1" applyAlignment="1">
      <alignment vertical="top" wrapText="1"/>
    </xf>
    <xf numFmtId="0" fontId="45" fillId="0" borderId="2" xfId="0" applyFont="1" applyFill="1" applyBorder="1" applyAlignment="1" applyProtection="1">
      <alignment horizontal="left"/>
    </xf>
    <xf numFmtId="0" fontId="0" fillId="2" borderId="18" xfId="0" applyFill="1" applyBorder="1" applyAlignment="1" applyProtection="1">
      <alignment horizontal="center" vertical="center"/>
    </xf>
    <xf numFmtId="0" fontId="0" fillId="2" borderId="18" xfId="0" applyFill="1" applyBorder="1" applyAlignment="1" applyProtection="1">
      <alignment horizontal="left" vertical="center"/>
    </xf>
    <xf numFmtId="0" fontId="45" fillId="2" borderId="0" xfId="0" applyFont="1" applyFill="1" applyBorder="1" applyAlignment="1">
      <alignment horizontal="center" vertical="center" wrapText="1"/>
    </xf>
    <xf numFmtId="0" fontId="70" fillId="2" borderId="0" xfId="0" applyFont="1" applyFill="1" applyBorder="1" applyAlignment="1">
      <alignment horizontal="center" vertical="center" wrapText="1"/>
    </xf>
    <xf numFmtId="0" fontId="48" fillId="2" borderId="0" xfId="0" applyFont="1" applyFill="1" applyBorder="1" applyAlignment="1">
      <alignment wrapText="1"/>
    </xf>
    <xf numFmtId="0" fontId="4" fillId="2" borderId="0" xfId="0" applyFont="1" applyFill="1" applyBorder="1" applyAlignment="1">
      <alignment wrapText="1"/>
    </xf>
    <xf numFmtId="0" fontId="81" fillId="0" borderId="0" xfId="0" applyFont="1" applyFill="1" applyBorder="1" applyAlignment="1" applyProtection="1">
      <alignment horizontal="center"/>
    </xf>
    <xf numFmtId="0" fontId="81" fillId="0" borderId="0" xfId="0" applyFont="1" applyFill="1" applyBorder="1" applyProtection="1"/>
    <xf numFmtId="0" fontId="82" fillId="0" borderId="0" xfId="0" applyFont="1" applyFill="1" applyBorder="1" applyAlignment="1" applyProtection="1">
      <alignment horizontal="left"/>
    </xf>
    <xf numFmtId="0" fontId="56" fillId="0" borderId="0" xfId="0" applyFont="1" applyFill="1" applyBorder="1" applyAlignment="1" applyProtection="1"/>
    <xf numFmtId="0" fontId="80" fillId="0" borderId="0" xfId="0" applyFont="1" applyFill="1" applyBorder="1" applyProtection="1"/>
    <xf numFmtId="0" fontId="8" fillId="8" borderId="2" xfId="0" applyFont="1" applyFill="1" applyBorder="1" applyAlignment="1" applyProtection="1">
      <alignment horizontal="center" vertical="center"/>
    </xf>
    <xf numFmtId="0" fontId="8" fillId="8" borderId="2" xfId="0" applyFont="1" applyFill="1" applyBorder="1" applyAlignment="1" applyProtection="1">
      <alignment horizontal="center" vertical="center" wrapText="1"/>
    </xf>
    <xf numFmtId="0" fontId="82" fillId="0" borderId="0" xfId="0" applyFont="1" applyFill="1" applyBorder="1" applyAlignment="1" applyProtection="1">
      <alignment horizontal="center" vertical="center"/>
    </xf>
    <xf numFmtId="0" fontId="82" fillId="0" borderId="0" xfId="0" applyFont="1" applyFill="1" applyBorder="1" applyAlignment="1" applyProtection="1">
      <alignment horizontal="center" vertical="center" wrapText="1"/>
    </xf>
    <xf numFmtId="0" fontId="45" fillId="0" borderId="2" xfId="0" applyFont="1" applyBorder="1" applyAlignment="1" applyProtection="1">
      <alignment horizontal="left"/>
    </xf>
    <xf numFmtId="0" fontId="45" fillId="0" borderId="2" xfId="0" applyFont="1" applyBorder="1" applyProtection="1"/>
    <xf numFmtId="0" fontId="81" fillId="0" borderId="0" xfId="0" applyFont="1" applyFill="1" applyBorder="1" applyAlignment="1" applyProtection="1">
      <alignment horizontal="left"/>
    </xf>
    <xf numFmtId="0" fontId="45" fillId="0" borderId="2" xfId="0" applyFont="1" applyFill="1" applyBorder="1" applyProtection="1"/>
    <xf numFmtId="0" fontId="81" fillId="0" borderId="0" xfId="0" quotePrefix="1" applyFont="1" applyFill="1" applyBorder="1" applyProtection="1"/>
    <xf numFmtId="0" fontId="103" fillId="2" borderId="0" xfId="0" applyFont="1" applyFill="1" applyBorder="1" applyAlignment="1">
      <alignment horizontal="left"/>
    </xf>
    <xf numFmtId="0" fontId="24" fillId="2" borderId="0" xfId="0" applyFont="1" applyFill="1" applyBorder="1"/>
    <xf numFmtId="0" fontId="104" fillId="2" borderId="0" xfId="0" applyFont="1" applyFill="1" applyBorder="1" applyAlignment="1" applyProtection="1">
      <alignment vertical="center" wrapText="1"/>
    </xf>
    <xf numFmtId="0" fontId="84" fillId="2" borderId="0" xfId="0" applyFont="1" applyFill="1" applyBorder="1" applyAlignment="1" applyProtection="1">
      <alignment vertical="center" wrapText="1"/>
    </xf>
    <xf numFmtId="0" fontId="55" fillId="0" borderId="0" xfId="0" applyFont="1" applyFill="1" applyBorder="1" applyAlignment="1"/>
    <xf numFmtId="0" fontId="55" fillId="0" borderId="0" xfId="0" applyFont="1" applyFill="1" applyBorder="1" applyAlignment="1">
      <alignment wrapText="1"/>
    </xf>
    <xf numFmtId="0" fontId="45" fillId="0" borderId="30" xfId="0" applyFont="1" applyFill="1" applyBorder="1" applyAlignment="1">
      <alignment horizontal="left" vertical="center"/>
    </xf>
    <xf numFmtId="0" fontId="45" fillId="0" borderId="15" xfId="0" applyFont="1" applyFill="1" applyBorder="1" applyAlignment="1">
      <alignment horizontal="left" vertical="center"/>
    </xf>
    <xf numFmtId="0" fontId="10" fillId="0" borderId="0" xfId="0" applyFont="1" applyFill="1" applyBorder="1" applyAlignment="1">
      <alignment horizontal="center"/>
    </xf>
    <xf numFmtId="0" fontId="10" fillId="0" borderId="0" xfId="0" applyFont="1" applyFill="1" applyBorder="1"/>
    <xf numFmtId="0" fontId="111" fillId="0" borderId="0" xfId="1" applyFont="1" applyFill="1" applyBorder="1" applyAlignment="1" applyProtection="1">
      <alignment horizontal="center"/>
    </xf>
    <xf numFmtId="0" fontId="10" fillId="0" borderId="0" xfId="0" applyFont="1" applyFill="1" applyBorder="1" applyAlignment="1">
      <alignment horizontal="left"/>
    </xf>
    <xf numFmtId="0" fontId="111" fillId="0" borderId="0" xfId="1" applyFont="1" applyFill="1" applyBorder="1" applyAlignment="1" applyProtection="1"/>
    <xf numFmtId="0" fontId="58" fillId="0" borderId="0" xfId="0" applyFont="1" applyFill="1" applyBorder="1" applyAlignment="1">
      <alignment horizontal="left"/>
    </xf>
    <xf numFmtId="0" fontId="58" fillId="0" borderId="0" xfId="0" applyFont="1" applyFill="1" applyBorder="1" applyAlignment="1">
      <alignment horizontal="center"/>
    </xf>
    <xf numFmtId="0" fontId="10" fillId="0" borderId="0" xfId="0" quotePrefix="1" applyFont="1" applyFill="1" applyBorder="1"/>
    <xf numFmtId="0" fontId="100" fillId="0" borderId="2" xfId="0" applyFont="1" applyFill="1" applyBorder="1" applyAlignment="1">
      <alignment wrapText="1"/>
    </xf>
    <xf numFmtId="1" fontId="58" fillId="8" borderId="2" xfId="0" applyNumberFormat="1" applyFont="1" applyFill="1" applyBorder="1" applyAlignment="1">
      <alignment horizontal="center" vertical="center" wrapText="1"/>
    </xf>
    <xf numFmtId="1" fontId="10" fillId="0" borderId="2" xfId="0" applyNumberFormat="1" applyFont="1" applyFill="1" applyBorder="1" applyAlignment="1">
      <alignment horizontal="center"/>
    </xf>
    <xf numFmtId="1" fontId="100" fillId="0" borderId="2" xfId="0" applyNumberFormat="1" applyFont="1" applyFill="1" applyBorder="1" applyAlignment="1">
      <alignment horizontal="center" wrapText="1"/>
    </xf>
    <xf numFmtId="1" fontId="81" fillId="0" borderId="0" xfId="0" applyNumberFormat="1" applyFont="1" applyFill="1" applyBorder="1" applyAlignment="1">
      <alignment horizontal="center"/>
    </xf>
    <xf numFmtId="0" fontId="45" fillId="0" borderId="2" xfId="0" applyFont="1" applyFill="1" applyBorder="1" applyAlignment="1" applyProtection="1">
      <alignment horizontal="center"/>
    </xf>
    <xf numFmtId="0" fontId="8" fillId="0" borderId="0" xfId="0" applyFont="1" applyFill="1" applyBorder="1" applyAlignment="1" applyProtection="1">
      <alignment horizontal="left"/>
    </xf>
    <xf numFmtId="0" fontId="47" fillId="0" borderId="0" xfId="1" applyFont="1" applyFill="1" applyBorder="1" applyAlignment="1" applyProtection="1">
      <alignment horizontal="center"/>
    </xf>
    <xf numFmtId="0" fontId="45" fillId="0" borderId="0" xfId="0" applyFont="1" applyFill="1" applyBorder="1" applyAlignment="1" applyProtection="1">
      <alignment horizontal="left"/>
    </xf>
    <xf numFmtId="0" fontId="47" fillId="0" borderId="0" xfId="1" applyFont="1" applyFill="1" applyBorder="1" applyAlignment="1" applyProtection="1"/>
    <xf numFmtId="0" fontId="102" fillId="0" borderId="2" xfId="0" applyFont="1" applyFill="1" applyBorder="1" applyAlignment="1" applyProtection="1">
      <alignment horizontal="center" wrapText="1"/>
    </xf>
    <xf numFmtId="0" fontId="102" fillId="0" borderId="2" xfId="0" applyFont="1" applyFill="1" applyBorder="1" applyAlignment="1" applyProtection="1">
      <alignment horizontal="left" wrapText="1"/>
    </xf>
    <xf numFmtId="0" fontId="45" fillId="0" borderId="0" xfId="0" quotePrefix="1" applyFont="1" applyFill="1" applyBorder="1" applyProtection="1"/>
    <xf numFmtId="49" fontId="102" fillId="0" borderId="2" xfId="0" applyNumberFormat="1" applyFont="1" applyFill="1" applyBorder="1" applyAlignment="1" applyProtection="1">
      <alignment horizontal="center" wrapText="1"/>
    </xf>
    <xf numFmtId="0" fontId="8" fillId="0" borderId="0" xfId="0" applyFont="1" applyFill="1" applyBorder="1" applyAlignment="1" applyProtection="1">
      <alignment horizontal="center"/>
    </xf>
    <xf numFmtId="0" fontId="102" fillId="0" borderId="2" xfId="2" applyFont="1" applyFill="1" applyBorder="1" applyAlignment="1">
      <alignment horizontal="center" wrapText="1"/>
    </xf>
    <xf numFmtId="0" fontId="45" fillId="0" borderId="2" xfId="0" applyFont="1" applyBorder="1" applyAlignment="1">
      <alignment horizontal="center"/>
    </xf>
    <xf numFmtId="0" fontId="102" fillId="0" borderId="2" xfId="0" applyFont="1" applyBorder="1" applyAlignment="1">
      <alignment horizontal="center" wrapText="1"/>
    </xf>
    <xf numFmtId="0" fontId="102" fillId="0" borderId="2" xfId="0" applyFont="1" applyBorder="1" applyAlignment="1">
      <alignment horizontal="center"/>
    </xf>
    <xf numFmtId="0" fontId="45" fillId="0" borderId="0" xfId="0" applyFont="1" applyBorder="1" applyAlignment="1">
      <alignment horizontal="center"/>
    </xf>
    <xf numFmtId="0" fontId="0" fillId="0" borderId="0" xfId="0" applyBorder="1" applyAlignment="1">
      <alignment horizontal="center"/>
    </xf>
    <xf numFmtId="0" fontId="45" fillId="0" borderId="0" xfId="0" applyFont="1" applyFill="1" applyBorder="1" applyAlignment="1">
      <alignment horizontal="left" vertical="center"/>
    </xf>
    <xf numFmtId="0" fontId="8" fillId="0" borderId="0" xfId="0" applyFont="1" applyFill="1" applyBorder="1" applyAlignment="1">
      <alignment horizontal="left" vertical="center"/>
    </xf>
    <xf numFmtId="0" fontId="45" fillId="15" borderId="0" xfId="0" applyFont="1" applyFill="1" applyBorder="1" applyAlignment="1">
      <alignment horizontal="center"/>
    </xf>
    <xf numFmtId="0" fontId="45" fillId="10" borderId="2" xfId="0" applyFont="1" applyFill="1" applyBorder="1" applyAlignment="1" applyProtection="1">
      <alignment horizontal="center" wrapText="1"/>
    </xf>
    <xf numFmtId="0" fontId="8" fillId="10" borderId="76" xfId="0" applyFont="1" applyFill="1" applyBorder="1" applyAlignment="1">
      <alignment horizontal="center" vertical="center" wrapText="1"/>
    </xf>
    <xf numFmtId="0" fontId="8" fillId="10" borderId="2" xfId="0" applyFont="1" applyFill="1" applyBorder="1" applyAlignment="1" applyProtection="1">
      <alignment horizontal="center" vertical="center" wrapText="1"/>
    </xf>
    <xf numFmtId="0" fontId="26" fillId="2" borderId="0" xfId="0" applyFont="1" applyFill="1" applyProtection="1"/>
    <xf numFmtId="0" fontId="26" fillId="2" borderId="0" xfId="0" applyFont="1" applyFill="1" applyBorder="1" applyProtection="1"/>
    <xf numFmtId="0" fontId="26" fillId="2" borderId="0" xfId="0" applyFont="1" applyFill="1" applyBorder="1" applyAlignment="1" applyProtection="1">
      <alignment horizontal="center" wrapText="1"/>
    </xf>
    <xf numFmtId="1" fontId="26" fillId="2" borderId="0" xfId="0" applyNumberFormat="1" applyFont="1" applyFill="1" applyBorder="1" applyAlignment="1" applyProtection="1">
      <alignment horizontal="left" wrapText="1"/>
    </xf>
    <xf numFmtId="0" fontId="26" fillId="2" borderId="0" xfId="0" applyFont="1" applyFill="1" applyBorder="1" applyAlignment="1" applyProtection="1">
      <alignment horizontal="left" wrapText="1"/>
    </xf>
    <xf numFmtId="0" fontId="0" fillId="2" borderId="0" xfId="0" applyFill="1" applyAlignment="1" applyProtection="1">
      <alignment vertical="top" wrapText="1"/>
    </xf>
    <xf numFmtId="1" fontId="0" fillId="13" borderId="2" xfId="0" applyNumberFormat="1" applyFill="1" applyBorder="1" applyAlignment="1" applyProtection="1">
      <alignment vertical="top" wrapText="1"/>
    </xf>
    <xf numFmtId="0" fontId="0" fillId="13" borderId="2" xfId="0" applyFill="1" applyBorder="1" applyAlignment="1" applyProtection="1">
      <alignment vertical="top" wrapText="1"/>
    </xf>
    <xf numFmtId="0" fontId="26" fillId="2" borderId="0" xfId="0" applyFont="1" applyFill="1" applyAlignment="1" applyProtection="1">
      <alignment vertical="top" wrapText="1"/>
    </xf>
    <xf numFmtId="1" fontId="0" fillId="13" borderId="19" xfId="0" applyNumberFormat="1" applyFill="1" applyBorder="1" applyAlignment="1" applyProtection="1">
      <alignment vertical="top" wrapText="1"/>
    </xf>
    <xf numFmtId="1" fontId="0" fillId="2" borderId="0" xfId="0" applyNumberFormat="1" applyFill="1" applyBorder="1" applyAlignment="1" applyProtection="1">
      <alignment vertical="top" wrapText="1"/>
    </xf>
    <xf numFmtId="0" fontId="0" fillId="2" borderId="0" xfId="0" applyFill="1" applyBorder="1" applyProtection="1"/>
    <xf numFmtId="1" fontId="0" fillId="4" borderId="16" xfId="0" applyNumberFormat="1" applyFill="1" applyBorder="1" applyAlignment="1" applyProtection="1">
      <alignment vertical="top" wrapText="1"/>
      <protection locked="0"/>
    </xf>
    <xf numFmtId="0" fontId="26" fillId="13" borderId="19" xfId="0" applyFont="1" applyFill="1" applyBorder="1" applyAlignment="1" applyProtection="1">
      <alignment horizontal="center" wrapText="1"/>
    </xf>
    <xf numFmtId="0" fontId="26" fillId="22" borderId="2" xfId="0" applyFont="1" applyFill="1" applyBorder="1" applyAlignment="1" applyProtection="1">
      <alignment horizontal="center" wrapText="1"/>
    </xf>
    <xf numFmtId="0" fontId="45" fillId="14" borderId="2" xfId="0" applyFont="1" applyFill="1" applyBorder="1" applyAlignment="1" applyProtection="1"/>
    <xf numFmtId="0" fontId="0" fillId="19" borderId="2" xfId="0" applyFill="1" applyBorder="1" applyAlignment="1">
      <alignment wrapText="1"/>
    </xf>
    <xf numFmtId="1" fontId="0" fillId="19" borderId="2" xfId="0" applyNumberFormat="1" applyFill="1" applyBorder="1" applyAlignment="1">
      <alignment horizontal="right" wrapText="1"/>
    </xf>
    <xf numFmtId="0" fontId="0" fillId="2" borderId="0" xfId="0"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0" fillId="2" borderId="0" xfId="0" applyFill="1" applyBorder="1" applyAlignment="1" applyProtection="1">
      <alignment horizontal="left" vertical="center"/>
    </xf>
    <xf numFmtId="0" fontId="1" fillId="2" borderId="22" xfId="0" applyFont="1" applyFill="1" applyBorder="1" applyAlignment="1" applyProtection="1">
      <alignment horizontal="center" vertical="center"/>
    </xf>
    <xf numFmtId="0" fontId="1" fillId="2" borderId="36" xfId="0" applyFont="1" applyFill="1" applyBorder="1" applyAlignment="1" applyProtection="1">
      <alignment horizontal="center" vertical="center"/>
    </xf>
    <xf numFmtId="0" fontId="45" fillId="2" borderId="0" xfId="0" applyFont="1" applyFill="1" applyBorder="1" applyAlignment="1" applyProtection="1">
      <alignment horizontal="center" vertical="center" wrapText="1"/>
    </xf>
    <xf numFmtId="0" fontId="0" fillId="2" borderId="22"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22" xfId="0" applyFill="1" applyBorder="1" applyAlignment="1" applyProtection="1">
      <alignment horizontal="center" vertical="center" wrapText="1"/>
    </xf>
    <xf numFmtId="0" fontId="0" fillId="2" borderId="36" xfId="0" applyFill="1" applyBorder="1" applyAlignment="1" applyProtection="1">
      <alignment horizontal="center" vertical="center" wrapText="1"/>
    </xf>
    <xf numFmtId="0" fontId="0" fillId="2" borderId="0" xfId="0" applyFill="1" applyAlignment="1" applyProtection="1">
      <alignment vertical="center"/>
    </xf>
    <xf numFmtId="0" fontId="0" fillId="4" borderId="2" xfId="0" applyFill="1" applyBorder="1" applyAlignment="1" applyProtection="1">
      <alignment vertical="center"/>
    </xf>
    <xf numFmtId="0" fontId="0" fillId="2" borderId="0" xfId="0" applyFill="1" applyAlignment="1" applyProtection="1">
      <alignment horizontal="left" vertical="center"/>
    </xf>
    <xf numFmtId="0" fontId="0" fillId="2" borderId="0" xfId="0" applyFill="1" applyBorder="1" applyAlignment="1" applyProtection="1">
      <alignment horizontal="left" vertical="center" wrapText="1"/>
    </xf>
    <xf numFmtId="0" fontId="86" fillId="2" borderId="0" xfId="0" applyFont="1" applyFill="1" applyAlignment="1" applyProtection="1">
      <alignment wrapText="1"/>
    </xf>
    <xf numFmtId="0" fontId="86" fillId="2" borderId="0" xfId="0" applyFont="1" applyFill="1" applyBorder="1" applyAlignment="1" applyProtection="1">
      <alignment wrapText="1"/>
    </xf>
    <xf numFmtId="0" fontId="6" fillId="0" borderId="2" xfId="0" applyFont="1" applyFill="1" applyBorder="1" applyAlignment="1" applyProtection="1">
      <alignment vertical="top" wrapText="1"/>
    </xf>
    <xf numFmtId="0" fontId="6" fillId="2" borderId="0" xfId="0" applyFont="1" applyFill="1" applyBorder="1" applyAlignment="1" applyProtection="1">
      <alignment vertical="top" wrapText="1"/>
    </xf>
    <xf numFmtId="0" fontId="48" fillId="2" borderId="0" xfId="0" applyFont="1" applyFill="1" applyBorder="1" applyAlignment="1" applyProtection="1">
      <alignment wrapText="1"/>
    </xf>
    <xf numFmtId="0" fontId="4" fillId="2" borderId="0" xfId="0" applyFont="1" applyFill="1" applyBorder="1" applyAlignment="1" applyProtection="1">
      <alignment wrapText="1"/>
    </xf>
    <xf numFmtId="0" fontId="0" fillId="2" borderId="36" xfId="0" applyFill="1" applyBorder="1" applyAlignment="1" applyProtection="1">
      <alignment horizontal="center" vertical="center"/>
    </xf>
    <xf numFmtId="0" fontId="0" fillId="2" borderId="13" xfId="0" applyFill="1" applyBorder="1" applyAlignment="1" applyProtection="1">
      <alignment horizontal="center" vertical="center"/>
    </xf>
    <xf numFmtId="0" fontId="0" fillId="2" borderId="0" xfId="0" applyFill="1" applyAlignment="1">
      <alignment horizontal="left" vertical="center"/>
    </xf>
    <xf numFmtId="0" fontId="0" fillId="2" borderId="0" xfId="0" applyFill="1" applyAlignment="1" applyProtection="1">
      <alignment horizontal="left" vertical="center" wrapText="1"/>
    </xf>
    <xf numFmtId="0" fontId="0" fillId="19" borderId="0" xfId="0" applyFill="1"/>
    <xf numFmtId="0" fontId="0" fillId="2" borderId="0" xfId="0" applyFill="1" applyBorder="1" applyAlignment="1" applyProtection="1">
      <alignment vertical="center"/>
    </xf>
    <xf numFmtId="0" fontId="0" fillId="2" borderId="0" xfId="0" quotePrefix="1" applyFill="1" applyBorder="1" applyAlignment="1" applyProtection="1">
      <alignment vertical="center" wrapText="1"/>
    </xf>
    <xf numFmtId="0" fontId="0" fillId="2" borderId="0" xfId="0" applyFill="1" applyBorder="1" applyAlignment="1" applyProtection="1">
      <alignment vertical="top" wrapText="1"/>
    </xf>
    <xf numFmtId="0" fontId="0" fillId="2" borderId="73" xfId="0" applyFill="1" applyBorder="1" applyAlignment="1" applyProtection="1">
      <alignment horizontal="left" vertical="center"/>
    </xf>
    <xf numFmtId="0" fontId="0" fillId="2" borderId="15" xfId="0" applyFill="1" applyBorder="1" applyAlignment="1" applyProtection="1">
      <alignment vertical="center"/>
    </xf>
    <xf numFmtId="0" fontId="0" fillId="2" borderId="47" xfId="0" applyFill="1" applyBorder="1" applyAlignment="1" applyProtection="1">
      <alignment horizontal="center" vertical="center" wrapText="1"/>
    </xf>
    <xf numFmtId="0" fontId="0" fillId="2" borderId="0" xfId="0" applyFill="1" applyBorder="1" applyAlignment="1">
      <alignment wrapText="1"/>
    </xf>
    <xf numFmtId="0" fontId="8" fillId="2" borderId="77" xfId="0" applyFont="1" applyFill="1" applyBorder="1" applyAlignment="1">
      <alignment horizontal="center" vertical="center" wrapText="1"/>
    </xf>
    <xf numFmtId="0" fontId="80" fillId="2" borderId="0" xfId="0" applyFont="1" applyFill="1" applyBorder="1" applyAlignment="1">
      <alignment horizontal="center" vertical="center" wrapText="1"/>
    </xf>
    <xf numFmtId="0" fontId="113" fillId="2" borderId="0" xfId="0" applyFont="1" applyFill="1" applyBorder="1" applyAlignment="1">
      <alignment horizontal="center" vertical="center" wrapText="1"/>
    </xf>
    <xf numFmtId="0" fontId="93" fillId="2" borderId="0" xfId="0" applyFont="1" applyFill="1" applyAlignment="1">
      <alignment vertical="center" wrapText="1"/>
    </xf>
    <xf numFmtId="0" fontId="56" fillId="7" borderId="24" xfId="0" applyFont="1" applyFill="1" applyBorder="1" applyAlignment="1">
      <alignment horizontal="center" vertical="center" wrapText="1"/>
    </xf>
    <xf numFmtId="0" fontId="86" fillId="7" borderId="35" xfId="0" applyFont="1" applyFill="1" applyBorder="1" applyAlignment="1">
      <alignment horizontal="center" wrapText="1"/>
    </xf>
    <xf numFmtId="0" fontId="86" fillId="7" borderId="60" xfId="0" applyFont="1" applyFill="1" applyBorder="1" applyAlignment="1">
      <alignment horizontal="center" wrapText="1"/>
    </xf>
    <xf numFmtId="0" fontId="8" fillId="0" borderId="0" xfId="0" applyFont="1" applyFill="1" applyBorder="1" applyAlignment="1">
      <alignment horizontal="left" vertical="center" wrapText="1"/>
    </xf>
    <xf numFmtId="0" fontId="17" fillId="2" borderId="0" xfId="0" applyFont="1" applyFill="1" applyBorder="1" applyAlignment="1" applyProtection="1">
      <alignment vertical="center" wrapText="1"/>
    </xf>
    <xf numFmtId="0" fontId="0" fillId="2" borderId="0" xfId="0" applyFill="1" applyBorder="1" applyAlignment="1" applyProtection="1">
      <alignment horizontal="right" vertical="center" wrapText="1"/>
    </xf>
    <xf numFmtId="1" fontId="0" fillId="2" borderId="0" xfId="0" applyNumberFormat="1" applyFill="1" applyBorder="1" applyAlignment="1" applyProtection="1">
      <alignment horizontal="center" vertical="center" wrapText="1"/>
    </xf>
    <xf numFmtId="0" fontId="0" fillId="13" borderId="2" xfId="0" applyFill="1" applyBorder="1" applyAlignment="1" applyProtection="1">
      <alignment horizontal="right" vertical="center" wrapText="1"/>
    </xf>
    <xf numFmtId="0" fontId="70" fillId="4" borderId="2" xfId="0" applyFont="1" applyFill="1" applyBorder="1" applyAlignment="1" applyProtection="1">
      <alignment vertical="center" wrapText="1"/>
      <protection locked="0"/>
    </xf>
    <xf numFmtId="0" fontId="17" fillId="0" borderId="2" xfId="0" applyFont="1" applyBorder="1" applyAlignment="1" applyProtection="1">
      <alignment vertical="center" wrapText="1"/>
    </xf>
    <xf numFmtId="0" fontId="8" fillId="0" borderId="0" xfId="0" applyFont="1" applyFill="1" applyBorder="1" applyAlignment="1">
      <alignment horizontal="center" wrapText="1"/>
    </xf>
    <xf numFmtId="0" fontId="8" fillId="0" borderId="0" xfId="0" applyFont="1" applyFill="1" applyBorder="1" applyAlignment="1">
      <alignment wrapText="1"/>
    </xf>
    <xf numFmtId="0" fontId="17" fillId="0" borderId="0" xfId="0" applyFont="1" applyBorder="1" applyAlignment="1" applyProtection="1">
      <alignment horizontal="left" vertical="center" wrapText="1"/>
    </xf>
    <xf numFmtId="0" fontId="17" fillId="0" borderId="0" xfId="0" applyFont="1" applyFill="1" applyBorder="1" applyAlignment="1" applyProtection="1">
      <alignment vertical="center" wrapText="1"/>
    </xf>
    <xf numFmtId="0" fontId="17" fillId="0" borderId="0" xfId="0" applyFont="1" applyBorder="1" applyAlignment="1" applyProtection="1">
      <alignment vertical="center" wrapText="1"/>
    </xf>
    <xf numFmtId="0" fontId="102" fillId="0" borderId="0" xfId="0" applyFont="1" applyFill="1" applyBorder="1" applyAlignment="1">
      <alignment horizontal="center" wrapText="1"/>
    </xf>
    <xf numFmtId="0" fontId="109" fillId="0" borderId="0" xfId="0" applyFont="1" applyFill="1" applyBorder="1" applyAlignment="1">
      <alignment horizontal="center" wrapText="1"/>
    </xf>
    <xf numFmtId="0" fontId="102" fillId="14" borderId="2" xfId="0" applyFont="1" applyFill="1" applyBorder="1" applyAlignment="1">
      <alignment horizontal="center" wrapText="1"/>
    </xf>
    <xf numFmtId="0" fontId="45" fillId="0" borderId="10" xfId="0" applyFont="1" applyFill="1" applyBorder="1" applyAlignment="1"/>
    <xf numFmtId="0" fontId="45" fillId="0" borderId="53" xfId="0" applyFont="1" applyFill="1" applyBorder="1" applyAlignment="1"/>
    <xf numFmtId="0" fontId="84" fillId="0" borderId="0" xfId="0" applyFont="1" applyFill="1" applyAlignment="1">
      <alignment vertical="top"/>
    </xf>
    <xf numFmtId="0" fontId="3" fillId="17" borderId="0" xfId="0" applyFont="1" applyFill="1" applyAlignment="1">
      <alignment vertical="top"/>
    </xf>
    <xf numFmtId="0" fontId="0" fillId="17" borderId="1" xfId="0" applyFill="1" applyBorder="1" applyAlignment="1">
      <alignment vertical="top"/>
    </xf>
    <xf numFmtId="0" fontId="0" fillId="17" borderId="4" xfId="0" applyFill="1" applyBorder="1" applyAlignment="1">
      <alignment vertical="top"/>
    </xf>
    <xf numFmtId="0" fontId="84" fillId="17" borderId="6" xfId="0" applyFont="1" applyFill="1" applyBorder="1" applyAlignment="1">
      <alignment vertical="top"/>
    </xf>
    <xf numFmtId="0" fontId="0" fillId="17" borderId="3" xfId="0" applyFill="1" applyBorder="1" applyAlignment="1">
      <alignment vertical="top"/>
    </xf>
    <xf numFmtId="0" fontId="0" fillId="17" borderId="49" xfId="0" applyFill="1" applyBorder="1" applyAlignment="1">
      <alignment vertical="top"/>
    </xf>
    <xf numFmtId="0" fontId="0" fillId="17" borderId="5" xfId="0" applyFill="1" applyBorder="1" applyAlignment="1">
      <alignment vertical="top"/>
    </xf>
    <xf numFmtId="0" fontId="0" fillId="17" borderId="17" xfId="0" applyFill="1" applyBorder="1" applyAlignment="1">
      <alignment vertical="top"/>
    </xf>
    <xf numFmtId="0" fontId="0" fillId="17" borderId="7" xfId="0" applyFill="1" applyBorder="1" applyAlignment="1">
      <alignment vertical="top"/>
    </xf>
    <xf numFmtId="0" fontId="102" fillId="14" borderId="2" xfId="0" applyFont="1" applyFill="1" applyBorder="1" applyAlignment="1">
      <alignment horizontal="center"/>
    </xf>
    <xf numFmtId="0" fontId="45" fillId="14" borderId="0" xfId="0" applyFont="1" applyFill="1" applyBorder="1" applyAlignment="1">
      <alignment horizontal="center"/>
    </xf>
    <xf numFmtId="0" fontId="0" fillId="14" borderId="2" xfId="0" applyFill="1" applyBorder="1" applyAlignment="1">
      <alignment vertical="top" wrapText="1"/>
    </xf>
    <xf numFmtId="0" fontId="4" fillId="2" borderId="0" xfId="0" applyFont="1" applyFill="1" applyBorder="1" applyAlignment="1" applyProtection="1">
      <alignment vertical="center"/>
    </xf>
    <xf numFmtId="0" fontId="4" fillId="0" borderId="0" xfId="0" applyFont="1" applyFill="1" applyBorder="1" applyAlignment="1" applyProtection="1">
      <alignment vertical="center"/>
    </xf>
    <xf numFmtId="0" fontId="92" fillId="2" borderId="0" xfId="0" applyFont="1" applyFill="1" applyBorder="1" applyAlignment="1" applyProtection="1">
      <alignment vertical="center"/>
    </xf>
    <xf numFmtId="0" fontId="92" fillId="2" borderId="0" xfId="0" quotePrefix="1" applyFont="1" applyFill="1" applyBorder="1" applyAlignment="1" applyProtection="1">
      <alignment vertical="center" wrapText="1"/>
    </xf>
    <xf numFmtId="0" fontId="92" fillId="0" borderId="0" xfId="0" applyFont="1" applyFill="1" applyBorder="1" applyAlignment="1" applyProtection="1">
      <alignment vertical="center"/>
    </xf>
    <xf numFmtId="0" fontId="4" fillId="2" borderId="0" xfId="0" quotePrefix="1" applyFont="1" applyFill="1" applyBorder="1" applyAlignment="1" applyProtection="1">
      <alignment vertical="center" wrapText="1"/>
    </xf>
    <xf numFmtId="0" fontId="55" fillId="2" borderId="20" xfId="0" quotePrefix="1" applyFont="1" applyFill="1" applyBorder="1" applyAlignment="1" applyProtection="1">
      <alignment horizontal="left" vertical="center" wrapText="1"/>
    </xf>
    <xf numFmtId="0" fontId="55" fillId="2" borderId="21" xfId="0" quotePrefix="1" applyFont="1" applyFill="1" applyBorder="1" applyAlignment="1" applyProtection="1">
      <alignment horizontal="left" vertical="center" wrapText="1"/>
    </xf>
    <xf numFmtId="0" fontId="55" fillId="2" borderId="26" xfId="0" quotePrefix="1" applyFont="1" applyFill="1" applyBorder="1" applyAlignment="1" applyProtection="1">
      <alignment horizontal="left" vertical="center" wrapText="1"/>
    </xf>
    <xf numFmtId="0" fontId="4" fillId="2" borderId="0" xfId="0" applyFont="1" applyFill="1" applyBorder="1" applyAlignment="1" applyProtection="1">
      <alignment vertical="center" wrapText="1"/>
    </xf>
    <xf numFmtId="0" fontId="1" fillId="2" borderId="2" xfId="0" applyFont="1" applyFill="1" applyBorder="1" applyAlignment="1" applyProtection="1">
      <alignment vertical="center"/>
    </xf>
    <xf numFmtId="0" fontId="0" fillId="2" borderId="16" xfId="0" applyFill="1" applyBorder="1" applyAlignment="1" applyProtection="1">
      <alignment vertical="center"/>
    </xf>
    <xf numFmtId="0" fontId="4" fillId="2" borderId="0" xfId="0" quotePrefix="1" applyNumberFormat="1" applyFont="1" applyFill="1" applyBorder="1" applyAlignment="1" applyProtection="1">
      <alignment vertical="center" wrapText="1"/>
    </xf>
    <xf numFmtId="0" fontId="49" fillId="2" borderId="0" xfId="0" applyFont="1" applyFill="1" applyBorder="1" applyAlignment="1" applyProtection="1">
      <alignment vertical="center" wrapText="1"/>
    </xf>
    <xf numFmtId="0" fontId="101" fillId="2" borderId="2" xfId="0" applyFont="1" applyFill="1" applyBorder="1" applyAlignment="1" applyProtection="1">
      <alignment vertical="center" wrapText="1"/>
    </xf>
    <xf numFmtId="0" fontId="1" fillId="2" borderId="2" xfId="0" applyFont="1" applyFill="1" applyBorder="1" applyAlignment="1" applyProtection="1">
      <alignment vertical="center" wrapText="1"/>
    </xf>
    <xf numFmtId="0" fontId="4" fillId="2" borderId="16" xfId="0" applyFont="1" applyFill="1" applyBorder="1" applyAlignment="1" applyProtection="1">
      <alignment vertical="center" wrapText="1"/>
    </xf>
    <xf numFmtId="0" fontId="0" fillId="2" borderId="4" xfId="0" applyFill="1" applyBorder="1" applyAlignment="1" applyProtection="1">
      <alignment horizontal="left" vertical="center" indent="8"/>
    </xf>
    <xf numFmtId="0" fontId="4" fillId="2" borderId="0" xfId="0" applyFont="1" applyFill="1" applyBorder="1" applyAlignment="1" applyProtection="1">
      <alignment horizontal="left" vertical="center" indent="8"/>
    </xf>
    <xf numFmtId="0" fontId="4" fillId="0" borderId="0" xfId="0" applyFont="1" applyFill="1" applyBorder="1" applyAlignment="1" applyProtection="1">
      <alignment horizontal="left" vertical="center" indent="8"/>
    </xf>
    <xf numFmtId="0" fontId="0" fillId="2" borderId="21" xfId="0" applyFill="1" applyBorder="1" applyAlignment="1" applyProtection="1">
      <alignment vertical="center"/>
    </xf>
    <xf numFmtId="0" fontId="4" fillId="2" borderId="42" xfId="0" applyFont="1" applyFill="1" applyBorder="1" applyAlignment="1" applyProtection="1">
      <alignment horizontal="center" vertical="center"/>
    </xf>
    <xf numFmtId="0" fontId="4" fillId="2" borderId="0" xfId="0" applyFont="1" applyFill="1" applyBorder="1" applyAlignment="1" applyProtection="1">
      <alignment horizontal="left" vertical="center"/>
    </xf>
    <xf numFmtId="0" fontId="4" fillId="2" borderId="0" xfId="0" applyFont="1" applyFill="1" applyBorder="1" applyAlignment="1" applyProtection="1">
      <alignment horizontal="center" vertical="center"/>
    </xf>
    <xf numFmtId="0" fontId="4" fillId="2" borderId="0" xfId="0" applyFont="1" applyFill="1" applyBorder="1" applyAlignment="1" applyProtection="1">
      <alignment horizontal="left" vertical="center" wrapText="1"/>
    </xf>
    <xf numFmtId="0" fontId="8" fillId="2" borderId="0" xfId="0" applyFont="1" applyFill="1" applyBorder="1" applyAlignment="1" applyProtection="1">
      <alignment vertical="center"/>
    </xf>
    <xf numFmtId="0" fontId="45" fillId="2" borderId="0" xfId="0" applyFont="1" applyFill="1" applyBorder="1" applyAlignment="1" applyProtection="1">
      <alignment vertical="center" wrapText="1"/>
    </xf>
    <xf numFmtId="0" fontId="56" fillId="2" borderId="0" xfId="0" applyFont="1" applyFill="1" applyBorder="1" applyAlignment="1" applyProtection="1">
      <alignment vertical="center" wrapText="1"/>
    </xf>
    <xf numFmtId="0" fontId="45" fillId="2" borderId="0" xfId="0" quotePrefix="1" applyFont="1" applyFill="1" applyBorder="1" applyAlignment="1" applyProtection="1">
      <alignment vertical="center" wrapText="1"/>
    </xf>
    <xf numFmtId="0" fontId="3" fillId="2" borderId="0" xfId="0" applyFont="1" applyFill="1" applyBorder="1" applyAlignment="1" applyProtection="1">
      <alignment vertical="center"/>
    </xf>
    <xf numFmtId="0" fontId="8" fillId="2" borderId="0" xfId="0" applyFont="1" applyFill="1" applyBorder="1" applyAlignment="1" applyProtection="1">
      <alignment vertical="center" wrapText="1"/>
    </xf>
    <xf numFmtId="0" fontId="4" fillId="2" borderId="0" xfId="0" applyFont="1" applyFill="1" applyBorder="1" applyAlignment="1" applyProtection="1">
      <alignment horizontal="center" vertical="center" wrapText="1"/>
    </xf>
    <xf numFmtId="0" fontId="28" fillId="2" borderId="0" xfId="0" applyFont="1" applyFill="1" applyBorder="1" applyAlignment="1" applyProtection="1">
      <alignment vertical="center" wrapText="1"/>
    </xf>
    <xf numFmtId="0" fontId="80" fillId="2" borderId="0" xfId="0" applyFont="1" applyFill="1" applyBorder="1" applyAlignment="1" applyProtection="1">
      <alignment vertical="center" wrapText="1"/>
    </xf>
    <xf numFmtId="0" fontId="80" fillId="2" borderId="0" xfId="0" applyFont="1" applyFill="1" applyBorder="1" applyAlignment="1" applyProtection="1">
      <alignment vertical="center"/>
    </xf>
    <xf numFmtId="0" fontId="4" fillId="2" borderId="0" xfId="0" quotePrefix="1" applyFont="1" applyFill="1" applyBorder="1" applyAlignment="1" applyProtection="1">
      <alignment horizontal="left" vertical="center"/>
    </xf>
    <xf numFmtId="0" fontId="4" fillId="2" borderId="0" xfId="0" quotePrefix="1" applyFont="1" applyFill="1" applyBorder="1" applyAlignment="1" applyProtection="1">
      <alignment vertical="center"/>
    </xf>
    <xf numFmtId="14" fontId="6" fillId="4" borderId="13" xfId="0" applyNumberFormat="1" applyFont="1" applyFill="1" applyBorder="1" applyAlignment="1" applyProtection="1">
      <alignment horizontal="center" vertical="top" wrapText="1"/>
      <protection locked="0"/>
    </xf>
    <xf numFmtId="14" fontId="6" fillId="4" borderId="2" xfId="0" applyNumberFormat="1" applyFont="1" applyFill="1" applyBorder="1" applyAlignment="1" applyProtection="1">
      <alignment horizontal="center" vertical="top" wrapText="1"/>
      <protection locked="0"/>
    </xf>
    <xf numFmtId="0" fontId="6" fillId="2" borderId="4" xfId="0" applyFont="1" applyFill="1" applyBorder="1" applyAlignment="1" applyProtection="1">
      <alignment vertical="top" wrapText="1"/>
    </xf>
    <xf numFmtId="0" fontId="6" fillId="2" borderId="6" xfId="0" applyFont="1" applyFill="1" applyBorder="1" applyAlignment="1" applyProtection="1">
      <alignment vertical="top" wrapText="1"/>
    </xf>
    <xf numFmtId="0" fontId="6" fillId="2" borderId="7" xfId="0" applyFont="1" applyFill="1" applyBorder="1" applyAlignment="1" applyProtection="1">
      <alignment vertical="top" wrapText="1"/>
    </xf>
    <xf numFmtId="0" fontId="25" fillId="0" borderId="30" xfId="0" applyFont="1" applyFill="1" applyBorder="1" applyAlignment="1">
      <alignment wrapText="1"/>
    </xf>
    <xf numFmtId="0" fontId="10" fillId="0" borderId="30" xfId="0" applyFont="1" applyFill="1" applyBorder="1" applyAlignment="1">
      <alignment wrapText="1"/>
    </xf>
    <xf numFmtId="0" fontId="0" fillId="0" borderId="30" xfId="0" applyFill="1" applyBorder="1" applyAlignment="1">
      <alignment vertical="top" wrapText="1"/>
    </xf>
    <xf numFmtId="1" fontId="45" fillId="0" borderId="2" xfId="0" applyNumberFormat="1" applyFont="1" applyFill="1" applyBorder="1" applyAlignment="1" applyProtection="1">
      <alignment wrapText="1"/>
    </xf>
    <xf numFmtId="0" fontId="8" fillId="0" borderId="39" xfId="0" applyFont="1" applyFill="1" applyBorder="1" applyAlignment="1" applyProtection="1"/>
    <xf numFmtId="0" fontId="8" fillId="0" borderId="48" xfId="0" applyFont="1" applyFill="1" applyBorder="1" applyAlignment="1" applyProtection="1"/>
    <xf numFmtId="0" fontId="45" fillId="0" borderId="42" xfId="0" applyNumberFormat="1" applyFont="1" applyFill="1" applyBorder="1" applyAlignment="1" applyProtection="1">
      <alignment vertical="top"/>
    </xf>
    <xf numFmtId="0" fontId="45" fillId="0" borderId="13" xfId="0" applyNumberFormat="1" applyFont="1" applyFill="1" applyBorder="1" applyAlignment="1" applyProtection="1">
      <alignment vertical="top"/>
    </xf>
    <xf numFmtId="0" fontId="45" fillId="0" borderId="11" xfId="0" applyFont="1" applyFill="1" applyBorder="1" applyAlignment="1"/>
    <xf numFmtId="0" fontId="8" fillId="0" borderId="0" xfId="0" applyFont="1" applyFill="1" applyBorder="1" applyAlignment="1" applyProtection="1">
      <alignment horizontal="center" wrapText="1"/>
    </xf>
    <xf numFmtId="0" fontId="45" fillId="0" borderId="38" xfId="0" applyFont="1" applyFill="1" applyBorder="1" applyAlignment="1">
      <alignment horizontal="left" vertical="top" wrapText="1"/>
    </xf>
    <xf numFmtId="0" fontId="0" fillId="4" borderId="38" xfId="0" applyFill="1" applyBorder="1" applyAlignment="1">
      <alignment vertical="top" wrapText="1"/>
    </xf>
    <xf numFmtId="0" fontId="0" fillId="2" borderId="45" xfId="0" applyFill="1" applyBorder="1" applyAlignment="1" applyProtection="1">
      <alignment vertical="center"/>
    </xf>
    <xf numFmtId="0" fontId="0" fillId="2" borderId="77" xfId="0" applyFill="1" applyBorder="1" applyAlignment="1" applyProtection="1">
      <alignment horizontal="left" vertical="center" indent="5"/>
    </xf>
    <xf numFmtId="0" fontId="45" fillId="15" borderId="2" xfId="0" applyFont="1" applyFill="1" applyBorder="1" applyAlignment="1">
      <alignment horizontal="center"/>
    </xf>
    <xf numFmtId="0" fontId="45" fillId="0" borderId="2" xfId="0" applyFont="1" applyFill="1" applyBorder="1" applyAlignment="1">
      <alignment horizontal="center"/>
    </xf>
    <xf numFmtId="0" fontId="8" fillId="14" borderId="2" xfId="0" applyFont="1" applyFill="1" applyBorder="1" applyAlignment="1" applyProtection="1">
      <alignment horizontal="center"/>
      <protection locked="0"/>
    </xf>
    <xf numFmtId="0" fontId="101" fillId="0" borderId="0" xfId="0" applyFont="1" applyFill="1" applyBorder="1" applyAlignment="1"/>
    <xf numFmtId="0" fontId="45" fillId="14" borderId="15" xfId="0" applyFont="1" applyFill="1" applyBorder="1" applyAlignment="1">
      <alignment horizontal="center"/>
    </xf>
    <xf numFmtId="1" fontId="45" fillId="0" borderId="30" xfId="0" applyNumberFormat="1" applyFont="1" applyBorder="1" applyAlignment="1">
      <alignment horizontal="center" vertical="top" wrapText="1"/>
    </xf>
    <xf numFmtId="1" fontId="45" fillId="0" borderId="30" xfId="0" applyNumberFormat="1" applyFont="1" applyFill="1" applyBorder="1" applyAlignment="1">
      <alignment horizontal="center" vertical="top" wrapText="1"/>
    </xf>
    <xf numFmtId="1" fontId="101" fillId="2" borderId="57" xfId="0" applyNumberFormat="1" applyFont="1" applyFill="1" applyBorder="1" applyAlignment="1">
      <alignment horizontal="center" vertical="top" wrapText="1"/>
    </xf>
    <xf numFmtId="1" fontId="101" fillId="2" borderId="50" xfId="0" applyNumberFormat="1" applyFont="1" applyFill="1" applyBorder="1" applyAlignment="1">
      <alignment horizontal="center" vertical="top" wrapText="1"/>
    </xf>
    <xf numFmtId="1" fontId="101" fillId="2" borderId="58" xfId="0" applyNumberFormat="1" applyFont="1" applyFill="1" applyBorder="1" applyAlignment="1">
      <alignment horizontal="center" vertical="top" wrapText="1"/>
    </xf>
    <xf numFmtId="1" fontId="45" fillId="0" borderId="2" xfId="0" applyNumberFormat="1" applyFont="1" applyFill="1" applyBorder="1" applyAlignment="1">
      <alignment horizontal="center"/>
    </xf>
    <xf numFmtId="0" fontId="101" fillId="2" borderId="24" xfId="0" applyFont="1" applyFill="1" applyBorder="1" applyAlignment="1">
      <alignment horizontal="center" vertical="top" wrapText="1"/>
    </xf>
    <xf numFmtId="0" fontId="0" fillId="13" borderId="2" xfId="0" applyFill="1" applyBorder="1" applyAlignment="1" applyProtection="1">
      <alignment vertical="center" wrapText="1"/>
    </xf>
    <xf numFmtId="0" fontId="8" fillId="15" borderId="24" xfId="0" applyFont="1" applyFill="1" applyBorder="1" applyAlignment="1"/>
    <xf numFmtId="0" fontId="8" fillId="15" borderId="0" xfId="0" quotePrefix="1" applyFont="1" applyFill="1" applyBorder="1" applyAlignment="1"/>
    <xf numFmtId="0" fontId="10" fillId="0" borderId="41" xfId="0" applyFont="1" applyFill="1" applyBorder="1" applyAlignment="1">
      <alignment wrapText="1"/>
    </xf>
    <xf numFmtId="0" fontId="0" fillId="0" borderId="41" xfId="0" applyNumberFormat="1" applyFill="1" applyBorder="1" applyAlignment="1" applyProtection="1">
      <alignment vertical="top" wrapText="1"/>
    </xf>
    <xf numFmtId="0" fontId="0" fillId="0" borderId="30" xfId="0" applyNumberFormat="1" applyFill="1" applyBorder="1" applyAlignment="1" applyProtection="1">
      <alignment vertical="top" wrapText="1"/>
    </xf>
    <xf numFmtId="1" fontId="26" fillId="4" borderId="2" xfId="0" applyNumberFormat="1" applyFont="1" applyFill="1" applyBorder="1" applyAlignment="1" applyProtection="1">
      <alignment vertical="center" wrapText="1"/>
      <protection locked="0"/>
    </xf>
    <xf numFmtId="2" fontId="0" fillId="5" borderId="2" xfId="0" applyNumberFormat="1" applyFill="1" applyBorder="1" applyProtection="1"/>
    <xf numFmtId="0" fontId="0" fillId="0" borderId="0" xfId="0" applyNumberFormat="1" applyAlignment="1">
      <alignment vertical="top"/>
    </xf>
    <xf numFmtId="0" fontId="69" fillId="2" borderId="0" xfId="0" applyFont="1" applyFill="1" applyBorder="1" applyAlignment="1" applyProtection="1">
      <alignment vertical="center" wrapText="1"/>
    </xf>
    <xf numFmtId="0" fontId="109" fillId="0" borderId="0" xfId="0" applyFont="1" applyFill="1" applyBorder="1" applyAlignment="1"/>
    <xf numFmtId="1" fontId="3" fillId="17" borderId="0" xfId="0" applyNumberFormat="1" applyFont="1" applyFill="1" applyBorder="1" applyAlignment="1">
      <alignment vertical="top" wrapText="1"/>
    </xf>
    <xf numFmtId="2" fontId="26" fillId="4" borderId="2" xfId="0" applyNumberFormat="1" applyFont="1" applyFill="1" applyBorder="1" applyAlignment="1" applyProtection="1">
      <alignment vertical="center" wrapText="1"/>
      <protection locked="0"/>
    </xf>
    <xf numFmtId="0" fontId="0" fillId="13" borderId="2" xfId="0" applyFill="1" applyBorder="1" applyAlignment="1" applyProtection="1">
      <alignment vertical="center" wrapText="1"/>
      <protection locked="0"/>
    </xf>
    <xf numFmtId="1" fontId="0" fillId="3" borderId="2" xfId="0" applyNumberFormat="1" applyFill="1" applyBorder="1" applyAlignment="1" applyProtection="1">
      <alignment horizontal="center" vertical="center" wrapText="1"/>
    </xf>
    <xf numFmtId="0" fontId="86" fillId="2" borderId="0" xfId="0" applyFont="1" applyFill="1" applyAlignment="1" applyProtection="1">
      <alignment horizontal="left" wrapText="1"/>
    </xf>
    <xf numFmtId="0" fontId="0" fillId="2" borderId="0" xfId="0" applyFill="1" applyBorder="1" applyAlignment="1" applyProtection="1">
      <alignment horizontal="center"/>
    </xf>
    <xf numFmtId="0" fontId="49" fillId="2" borderId="0" xfId="0" applyFont="1" applyFill="1" applyBorder="1" applyAlignment="1" applyProtection="1">
      <alignment vertical="top" wrapText="1"/>
    </xf>
    <xf numFmtId="0" fontId="0" fillId="2" borderId="0" xfId="0" applyFill="1" applyBorder="1" applyAlignment="1" applyProtection="1">
      <alignment wrapText="1"/>
    </xf>
    <xf numFmtId="2" fontId="26" fillId="5" borderId="2" xfId="0" applyNumberFormat="1" applyFont="1" applyFill="1" applyBorder="1" applyProtection="1"/>
    <xf numFmtId="1" fontId="70" fillId="5" borderId="2" xfId="0" applyNumberFormat="1" applyFont="1" applyFill="1" applyBorder="1" applyAlignment="1" applyProtection="1">
      <alignment horizontal="right" vertical="top" wrapText="1"/>
    </xf>
    <xf numFmtId="2" fontId="26" fillId="2" borderId="0" xfId="0" applyNumberFormat="1" applyFont="1" applyFill="1" applyBorder="1" applyProtection="1"/>
    <xf numFmtId="1" fontId="70" fillId="2" borderId="0" xfId="0" applyNumberFormat="1" applyFont="1" applyFill="1" applyBorder="1" applyAlignment="1" applyProtection="1">
      <alignment horizontal="right" vertical="top" wrapText="1"/>
    </xf>
    <xf numFmtId="1" fontId="0" fillId="19" borderId="2" xfId="0" applyNumberFormat="1" applyFill="1" applyBorder="1" applyAlignment="1">
      <alignment wrapText="1"/>
    </xf>
    <xf numFmtId="2" fontId="4" fillId="13" borderId="28" xfId="0" applyNumberFormat="1" applyFont="1" applyFill="1" applyBorder="1" applyAlignment="1">
      <alignment vertical="center" wrapText="1"/>
    </xf>
    <xf numFmtId="0" fontId="0" fillId="5" borderId="2" xfId="0" applyFill="1" applyBorder="1" applyAlignment="1" applyProtection="1">
      <alignment vertical="center"/>
    </xf>
    <xf numFmtId="2" fontId="70" fillId="5" borderId="2" xfId="0" applyNumberFormat="1" applyFont="1" applyFill="1" applyBorder="1" applyAlignment="1" applyProtection="1">
      <alignment horizontal="right" vertical="top" wrapText="1"/>
    </xf>
    <xf numFmtId="0" fontId="1" fillId="2" borderId="0" xfId="0" applyFont="1" applyFill="1" applyAlignment="1" applyProtection="1">
      <alignment wrapText="1"/>
    </xf>
    <xf numFmtId="0" fontId="1" fillId="2" borderId="0" xfId="0" applyFont="1" applyFill="1" applyBorder="1" applyAlignment="1" applyProtection="1">
      <alignment vertical="center" wrapText="1"/>
    </xf>
    <xf numFmtId="0" fontId="1" fillId="2" borderId="0" xfId="0" applyFont="1" applyFill="1" applyBorder="1" applyAlignment="1" applyProtection="1">
      <alignment horizontal="left" vertical="center" wrapText="1"/>
    </xf>
    <xf numFmtId="0" fontId="105" fillId="0" borderId="2" xfId="0" applyFont="1" applyFill="1" applyBorder="1" applyAlignment="1" applyProtection="1">
      <alignment vertical="center" wrapText="1"/>
    </xf>
    <xf numFmtId="0" fontId="116" fillId="2" borderId="0" xfId="0" applyFont="1" applyFill="1" applyAlignment="1" applyProtection="1">
      <alignment wrapText="1"/>
    </xf>
    <xf numFmtId="0" fontId="116" fillId="0" borderId="2" xfId="0" applyFont="1" applyFill="1" applyBorder="1" applyAlignment="1" applyProtection="1">
      <alignment vertical="center" wrapText="1"/>
    </xf>
    <xf numFmtId="0" fontId="70" fillId="4" borderId="16" xfId="0" applyFont="1" applyFill="1" applyBorder="1" applyAlignment="1" applyProtection="1">
      <alignment vertical="center" wrapText="1"/>
    </xf>
    <xf numFmtId="0" fontId="70" fillId="4" borderId="27" xfId="0" applyFont="1" applyFill="1" applyBorder="1" applyAlignment="1" applyProtection="1">
      <alignment vertical="center" wrapText="1"/>
    </xf>
    <xf numFmtId="0" fontId="26" fillId="4" borderId="38" xfId="0" applyFont="1" applyFill="1" applyBorder="1" applyAlignment="1" applyProtection="1">
      <alignment vertical="center" wrapText="1"/>
    </xf>
    <xf numFmtId="0" fontId="26" fillId="4" borderId="28" xfId="0" applyFont="1" applyFill="1" applyBorder="1" applyAlignment="1" applyProtection="1">
      <alignment vertical="center" wrapText="1"/>
    </xf>
    <xf numFmtId="0" fontId="26" fillId="4" borderId="26" xfId="0" applyFont="1" applyFill="1" applyBorder="1" applyAlignment="1" applyProtection="1">
      <alignment vertical="center" wrapText="1"/>
    </xf>
    <xf numFmtId="0" fontId="116" fillId="2" borderId="0" xfId="0" applyFont="1" applyFill="1" applyBorder="1" applyAlignment="1" applyProtection="1">
      <alignment wrapText="1"/>
    </xf>
    <xf numFmtId="0" fontId="1" fillId="22" borderId="2" xfId="0" applyFont="1" applyFill="1" applyBorder="1" applyAlignment="1" applyProtection="1">
      <alignment vertical="center" wrapText="1"/>
    </xf>
    <xf numFmtId="0" fontId="1" fillId="4" borderId="2" xfId="0" applyFont="1" applyFill="1" applyBorder="1" applyAlignment="1" applyProtection="1">
      <alignment vertical="center" wrapText="1"/>
    </xf>
    <xf numFmtId="0" fontId="116" fillId="4" borderId="2" xfId="0" applyFont="1" applyFill="1" applyBorder="1" applyAlignment="1" applyProtection="1">
      <alignment vertical="center" wrapText="1"/>
    </xf>
    <xf numFmtId="0" fontId="108" fillId="2" borderId="16" xfId="0" applyFont="1" applyFill="1" applyBorder="1" applyAlignment="1" applyProtection="1">
      <alignment vertical="center" wrapText="1"/>
    </xf>
    <xf numFmtId="0" fontId="101" fillId="2" borderId="2" xfId="0" applyFont="1" applyFill="1" applyBorder="1" applyAlignment="1" applyProtection="1">
      <alignment horizontal="left" vertical="center" indent="8"/>
    </xf>
    <xf numFmtId="0" fontId="101" fillId="2" borderId="0" xfId="0" applyFont="1" applyFill="1" applyBorder="1" applyAlignment="1" applyProtection="1">
      <alignment horizontal="left" vertical="center" indent="8"/>
    </xf>
    <xf numFmtId="0" fontId="101" fillId="0" borderId="0" xfId="0" applyFont="1" applyFill="1" applyBorder="1" applyAlignment="1" applyProtection="1">
      <alignment horizontal="left" vertical="center" indent="8"/>
    </xf>
    <xf numFmtId="0" fontId="70" fillId="4" borderId="38" xfId="0" applyFont="1" applyFill="1" applyBorder="1" applyAlignment="1" applyProtection="1">
      <alignment vertical="center" wrapText="1"/>
    </xf>
    <xf numFmtId="0" fontId="70" fillId="4" borderId="24" xfId="0" applyFont="1" applyFill="1" applyBorder="1" applyAlignment="1" applyProtection="1">
      <alignment vertical="center" wrapText="1"/>
    </xf>
    <xf numFmtId="0" fontId="0" fillId="0" borderId="0" xfId="0" applyBorder="1"/>
    <xf numFmtId="0" fontId="6" fillId="2" borderId="3" xfId="0" applyFont="1" applyFill="1" applyBorder="1" applyAlignment="1" applyProtection="1">
      <alignment horizontal="left" vertical="top" wrapText="1"/>
    </xf>
    <xf numFmtId="1" fontId="6" fillId="4" borderId="8" xfId="0" applyNumberFormat="1" applyFont="1" applyFill="1" applyBorder="1" applyAlignment="1" applyProtection="1">
      <alignment horizontal="center" vertical="top" wrapText="1"/>
      <protection locked="0"/>
    </xf>
    <xf numFmtId="0" fontId="6" fillId="2" borderId="3" xfId="0" applyFont="1" applyFill="1" applyBorder="1" applyAlignment="1" applyProtection="1">
      <alignment horizontal="center" vertical="top" wrapText="1"/>
      <protection locked="0"/>
    </xf>
    <xf numFmtId="1" fontId="0" fillId="2" borderId="49" xfId="0" applyNumberFormat="1" applyFill="1" applyBorder="1" applyAlignment="1" applyProtection="1">
      <alignment vertical="top" wrapText="1"/>
      <protection locked="0"/>
    </xf>
    <xf numFmtId="0" fontId="45" fillId="2" borderId="2" xfId="0" applyFont="1" applyFill="1" applyBorder="1" applyAlignment="1">
      <alignment horizontal="center" wrapText="1"/>
    </xf>
    <xf numFmtId="0" fontId="45" fillId="2" borderId="2" xfId="0" applyFont="1" applyFill="1" applyBorder="1" applyAlignment="1">
      <alignment vertical="center" wrapText="1"/>
    </xf>
    <xf numFmtId="0" fontId="45" fillId="2" borderId="2" xfId="0" applyFont="1" applyFill="1" applyBorder="1" applyAlignment="1">
      <alignment wrapText="1"/>
    </xf>
    <xf numFmtId="0" fontId="45" fillId="0" borderId="2" xfId="0" applyFont="1" applyFill="1" applyBorder="1" applyAlignment="1"/>
    <xf numFmtId="0" fontId="45" fillId="2" borderId="2" xfId="0" applyFont="1" applyFill="1" applyBorder="1" applyAlignment="1"/>
    <xf numFmtId="0" fontId="45" fillId="2" borderId="2"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pplyProtection="1">
      <alignment vertical="center" wrapText="1"/>
      <protection locked="0"/>
    </xf>
    <xf numFmtId="0" fontId="45" fillId="0" borderId="2" xfId="0" applyFont="1" applyFill="1" applyBorder="1" applyAlignment="1" applyProtection="1">
      <alignment vertical="center" wrapText="1"/>
      <protection locked="0"/>
    </xf>
    <xf numFmtId="0" fontId="45" fillId="0" borderId="2" xfId="0" applyFont="1" applyFill="1" applyBorder="1" applyAlignment="1" applyProtection="1">
      <alignment wrapText="1"/>
      <protection locked="0"/>
    </xf>
    <xf numFmtId="0" fontId="45" fillId="0" borderId="2" xfId="0" applyFont="1" applyFill="1" applyBorder="1" applyAlignment="1" applyProtection="1">
      <alignment horizontal="center" wrapText="1"/>
      <protection locked="0"/>
    </xf>
    <xf numFmtId="0" fontId="45" fillId="0" borderId="16" xfId="0" applyFont="1" applyFill="1" applyBorder="1" applyAlignment="1" applyProtection="1">
      <alignment wrapText="1"/>
      <protection locked="0"/>
    </xf>
    <xf numFmtId="0" fontId="45" fillId="0" borderId="0" xfId="0" applyFont="1" applyFill="1" applyBorder="1" applyAlignment="1" applyProtection="1">
      <alignment wrapText="1"/>
      <protection locked="0"/>
    </xf>
    <xf numFmtId="0" fontId="45" fillId="0" borderId="36" xfId="0" applyFont="1" applyFill="1" applyBorder="1" applyAlignment="1" applyProtection="1">
      <alignment vertical="center" wrapText="1"/>
      <protection locked="0"/>
    </xf>
    <xf numFmtId="0" fontId="45" fillId="0" borderId="9" xfId="0" applyFont="1" applyFill="1" applyBorder="1" applyAlignment="1" applyProtection="1">
      <alignment vertical="center" wrapText="1"/>
      <protection locked="0"/>
    </xf>
    <xf numFmtId="0" fontId="45" fillId="0" borderId="9" xfId="0" applyFont="1" applyFill="1" applyBorder="1" applyAlignment="1" applyProtection="1">
      <alignment wrapText="1"/>
      <protection locked="0"/>
    </xf>
    <xf numFmtId="0" fontId="45" fillId="0" borderId="9" xfId="0" applyFont="1" applyFill="1" applyBorder="1" applyAlignment="1" applyProtection="1">
      <alignment horizontal="center" wrapText="1"/>
      <protection locked="0"/>
    </xf>
    <xf numFmtId="0" fontId="45" fillId="0" borderId="27" xfId="0" applyFont="1" applyFill="1" applyBorder="1" applyAlignment="1" applyProtection="1">
      <alignment wrapText="1"/>
      <protection locked="0"/>
    </xf>
    <xf numFmtId="1" fontId="45" fillId="19" borderId="0" xfId="0" applyNumberFormat="1" applyFont="1" applyFill="1" applyProtection="1"/>
    <xf numFmtId="0" fontId="1" fillId="4" borderId="16" xfId="0" applyFont="1" applyFill="1" applyBorder="1" applyAlignment="1" applyProtection="1">
      <alignment vertical="center" wrapText="1"/>
      <protection locked="0"/>
    </xf>
    <xf numFmtId="0" fontId="0" fillId="17" borderId="2" xfId="0" applyFill="1" applyBorder="1" applyProtection="1"/>
    <xf numFmtId="0" fontId="0" fillId="8" borderId="13" xfId="0" applyFill="1" applyBorder="1" applyProtection="1"/>
    <xf numFmtId="0" fontId="0" fillId="17" borderId="20" xfId="0" applyFill="1" applyBorder="1" applyProtection="1"/>
    <xf numFmtId="0" fontId="61" fillId="0" borderId="0" xfId="0" applyFont="1" applyAlignment="1">
      <alignment horizontal="center" wrapText="1"/>
    </xf>
    <xf numFmtId="0" fontId="92" fillId="2" borderId="2" xfId="0" applyFont="1" applyFill="1" applyBorder="1" applyAlignment="1" applyProtection="1">
      <alignment vertical="center"/>
    </xf>
    <xf numFmtId="0" fontId="45" fillId="0" borderId="0" xfId="0" applyFont="1" applyFill="1" applyBorder="1" applyAlignment="1">
      <alignment horizontal="right" vertical="center"/>
    </xf>
    <xf numFmtId="0" fontId="49" fillId="0" borderId="0" xfId="0" applyFont="1" applyFill="1" applyBorder="1" applyAlignment="1">
      <alignment vertical="top" wrapText="1"/>
    </xf>
    <xf numFmtId="0" fontId="45" fillId="2" borderId="0" xfId="0" applyFont="1" applyFill="1" applyBorder="1" applyAlignment="1">
      <alignment vertical="center" wrapText="1"/>
    </xf>
    <xf numFmtId="0" fontId="70" fillId="0" borderId="0" xfId="0" applyFont="1"/>
    <xf numFmtId="0" fontId="10" fillId="0" borderId="0" xfId="0" applyFont="1" applyFill="1" applyBorder="1" applyAlignment="1">
      <alignment vertical="center" wrapText="1"/>
    </xf>
    <xf numFmtId="0" fontId="70" fillId="0" borderId="0" xfId="0" applyFont="1" applyProtection="1">
      <protection locked="0"/>
    </xf>
    <xf numFmtId="0" fontId="0" fillId="0" borderId="0" xfId="0" applyProtection="1">
      <protection locked="0"/>
    </xf>
    <xf numFmtId="0" fontId="70" fillId="23" borderId="2" xfId="0" applyFont="1" applyFill="1" applyBorder="1" applyProtection="1">
      <protection locked="0"/>
    </xf>
    <xf numFmtId="0" fontId="70" fillId="23" borderId="19" xfId="0" applyFont="1" applyFill="1" applyBorder="1" applyProtection="1">
      <protection locked="0"/>
    </xf>
    <xf numFmtId="0" fontId="70" fillId="0" borderId="18" xfId="0" applyFont="1" applyFill="1" applyBorder="1" applyProtection="1">
      <protection locked="0"/>
    </xf>
    <xf numFmtId="0" fontId="70" fillId="23" borderId="13" xfId="0" applyFont="1" applyFill="1" applyBorder="1" applyProtection="1">
      <protection locked="0"/>
    </xf>
    <xf numFmtId="0" fontId="0" fillId="23" borderId="38" xfId="0" applyFill="1" applyBorder="1" applyProtection="1">
      <protection locked="0"/>
    </xf>
    <xf numFmtId="0" fontId="0" fillId="23" borderId="16" xfId="0" applyFill="1" applyBorder="1" applyProtection="1">
      <protection locked="0"/>
    </xf>
    <xf numFmtId="0" fontId="0" fillId="23" borderId="31" xfId="0" applyFill="1" applyBorder="1" applyProtection="1">
      <protection locked="0"/>
    </xf>
    <xf numFmtId="0" fontId="0" fillId="23" borderId="27" xfId="0" applyFill="1" applyBorder="1" applyProtection="1">
      <protection locked="0"/>
    </xf>
    <xf numFmtId="0" fontId="0" fillId="23" borderId="15" xfId="0" applyFill="1" applyBorder="1" applyProtection="1">
      <protection locked="0"/>
    </xf>
    <xf numFmtId="0" fontId="0" fillId="0" borderId="2" xfId="0" applyBorder="1" applyProtection="1">
      <protection locked="0"/>
    </xf>
    <xf numFmtId="0" fontId="0" fillId="23" borderId="2" xfId="0" applyFill="1" applyBorder="1" applyProtection="1">
      <protection locked="0"/>
    </xf>
    <xf numFmtId="0" fontId="0" fillId="23" borderId="8" xfId="0" applyFill="1" applyBorder="1" applyProtection="1">
      <protection locked="0"/>
    </xf>
    <xf numFmtId="0" fontId="0" fillId="23" borderId="9" xfId="0" applyFill="1" applyBorder="1" applyProtection="1">
      <protection locked="0"/>
    </xf>
    <xf numFmtId="0" fontId="4" fillId="23" borderId="38" xfId="0" applyFont="1" applyFill="1" applyBorder="1" applyAlignment="1" applyProtection="1">
      <alignment vertical="top" wrapText="1"/>
      <protection locked="0"/>
    </xf>
    <xf numFmtId="0" fontId="4" fillId="23" borderId="16" xfId="0" applyFont="1" applyFill="1" applyBorder="1" applyAlignment="1" applyProtection="1">
      <alignment vertical="top" wrapText="1"/>
      <protection locked="0"/>
    </xf>
    <xf numFmtId="0" fontId="4" fillId="23" borderId="27" xfId="0" applyFont="1" applyFill="1" applyBorder="1" applyAlignment="1" applyProtection="1">
      <alignment vertical="top" wrapText="1"/>
      <protection locked="0"/>
    </xf>
    <xf numFmtId="0" fontId="0" fillId="2" borderId="30" xfId="0" applyFill="1" applyBorder="1" applyAlignment="1" applyProtection="1">
      <alignment horizontal="left" vertical="center"/>
    </xf>
    <xf numFmtId="0" fontId="0" fillId="2" borderId="75" xfId="0" applyFill="1" applyBorder="1" applyAlignment="1" applyProtection="1">
      <alignment horizontal="left" vertical="center"/>
    </xf>
    <xf numFmtId="0" fontId="0" fillId="2" borderId="33" xfId="0" applyFill="1" applyBorder="1" applyAlignment="1" applyProtection="1">
      <alignment horizontal="left" vertical="center"/>
    </xf>
    <xf numFmtId="0" fontId="0" fillId="2" borderId="67" xfId="0" applyFill="1" applyBorder="1" applyAlignment="1" applyProtection="1">
      <alignment horizontal="left" vertical="center"/>
    </xf>
    <xf numFmtId="0" fontId="3" fillId="8" borderId="62" xfId="0" applyFont="1" applyFill="1" applyBorder="1" applyAlignment="1" applyProtection="1">
      <alignment horizontal="left" vertical="center"/>
    </xf>
    <xf numFmtId="0" fontId="3" fillId="8" borderId="78" xfId="0" applyFont="1" applyFill="1" applyBorder="1" applyAlignment="1" applyProtection="1">
      <alignment horizontal="left" vertical="center"/>
    </xf>
    <xf numFmtId="0" fontId="3" fillId="8" borderId="66" xfId="0" applyFont="1" applyFill="1" applyBorder="1" applyAlignment="1" applyProtection="1">
      <alignment horizontal="left" vertical="center"/>
    </xf>
    <xf numFmtId="0" fontId="28" fillId="2" borderId="30" xfId="0" applyFont="1" applyFill="1" applyBorder="1" applyAlignment="1" applyProtection="1">
      <alignment horizontal="left" vertical="center" wrapText="1"/>
    </xf>
    <xf numFmtId="0" fontId="28" fillId="2" borderId="75" xfId="0" applyFont="1" applyFill="1" applyBorder="1" applyAlignment="1" applyProtection="1">
      <alignment horizontal="left" vertical="center" wrapText="1"/>
    </xf>
    <xf numFmtId="0" fontId="3" fillId="2" borderId="30" xfId="0" applyFont="1" applyFill="1" applyBorder="1" applyAlignment="1" applyProtection="1">
      <alignment horizontal="left" vertical="center" wrapText="1"/>
    </xf>
    <xf numFmtId="0" fontId="3" fillId="2" borderId="75" xfId="0" applyFont="1" applyFill="1" applyBorder="1" applyAlignment="1" applyProtection="1">
      <alignment horizontal="left" vertical="center" wrapText="1"/>
    </xf>
    <xf numFmtId="0" fontId="45" fillId="2" borderId="20" xfId="0" applyFont="1" applyFill="1" applyBorder="1" applyAlignment="1" applyProtection="1">
      <alignment horizontal="center" vertical="center" wrapText="1"/>
    </xf>
    <xf numFmtId="0" fontId="45" fillId="2" borderId="21" xfId="0" applyFont="1" applyFill="1" applyBorder="1" applyAlignment="1" applyProtection="1">
      <alignment horizontal="center" vertical="center" wrapText="1"/>
    </xf>
    <xf numFmtId="0" fontId="45" fillId="2" borderId="26" xfId="0" applyFont="1" applyFill="1" applyBorder="1" applyAlignment="1" applyProtection="1">
      <alignment horizontal="center" vertical="center" wrapText="1"/>
    </xf>
    <xf numFmtId="0" fontId="0" fillId="2" borderId="1" xfId="0" applyFill="1" applyBorder="1" applyAlignment="1" applyProtection="1">
      <alignment horizontal="center" vertical="center"/>
    </xf>
    <xf numFmtId="0" fontId="0" fillId="2" borderId="3" xfId="0" applyFill="1" applyBorder="1" applyAlignment="1" applyProtection="1">
      <alignment horizontal="center" vertical="center"/>
    </xf>
    <xf numFmtId="0" fontId="3" fillId="8" borderId="37" xfId="0" applyFont="1" applyFill="1" applyBorder="1" applyAlignment="1" applyProtection="1">
      <alignment horizontal="left" vertical="center"/>
    </xf>
    <xf numFmtId="0" fontId="3" fillId="8" borderId="8" xfId="0" applyFont="1" applyFill="1" applyBorder="1" applyAlignment="1" applyProtection="1">
      <alignment horizontal="left" vertical="center"/>
    </xf>
    <xf numFmtId="0" fontId="3" fillId="8" borderId="38" xfId="0" applyFont="1" applyFill="1" applyBorder="1" applyAlignment="1" applyProtection="1">
      <alignment horizontal="left" vertical="center"/>
    </xf>
    <xf numFmtId="0" fontId="1" fillId="2" borderId="2"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0" fillId="2" borderId="20" xfId="0" applyFill="1" applyBorder="1" applyAlignment="1" applyProtection="1">
      <alignment horizontal="center" vertical="center"/>
    </xf>
    <xf numFmtId="0" fontId="0" fillId="2" borderId="21" xfId="0" applyFill="1" applyBorder="1" applyAlignment="1" applyProtection="1">
      <alignment horizontal="center" vertical="center"/>
    </xf>
    <xf numFmtId="0" fontId="0" fillId="2" borderId="30" xfId="0" applyFill="1" applyBorder="1" applyAlignment="1" applyProtection="1">
      <alignment horizontal="left" vertical="center" wrapText="1"/>
    </xf>
    <xf numFmtId="0" fontId="0" fillId="2" borderId="75" xfId="0" applyFill="1" applyBorder="1" applyAlignment="1" applyProtection="1">
      <alignment horizontal="left" vertical="center" wrapText="1"/>
    </xf>
    <xf numFmtId="0" fontId="0" fillId="2" borderId="33" xfId="0" applyFill="1" applyBorder="1" applyAlignment="1" applyProtection="1">
      <alignment horizontal="left" vertical="center" wrapText="1"/>
    </xf>
    <xf numFmtId="0" fontId="0" fillId="2" borderId="67" xfId="0" applyFill="1" applyBorder="1" applyAlignment="1" applyProtection="1">
      <alignment horizontal="left" vertical="center" wrapText="1"/>
    </xf>
    <xf numFmtId="0" fontId="90" fillId="2" borderId="7" xfId="0" applyFont="1" applyFill="1" applyBorder="1" applyAlignment="1" applyProtection="1">
      <alignment horizontal="center" vertical="center"/>
    </xf>
    <xf numFmtId="0" fontId="55" fillId="11" borderId="20" xfId="0" applyFont="1" applyFill="1" applyBorder="1" applyAlignment="1" applyProtection="1">
      <alignment horizontal="left" vertical="center" wrapText="1"/>
    </xf>
    <xf numFmtId="0" fontId="55" fillId="11" borderId="21" xfId="0" quotePrefix="1" applyFont="1" applyFill="1" applyBorder="1" applyAlignment="1" applyProtection="1">
      <alignment horizontal="left" vertical="center" wrapText="1"/>
    </xf>
    <xf numFmtId="0" fontId="55" fillId="11" borderId="26" xfId="0" quotePrefix="1" applyFont="1" applyFill="1" applyBorder="1" applyAlignment="1" applyProtection="1">
      <alignment horizontal="left" vertical="center" wrapText="1"/>
    </xf>
    <xf numFmtId="0" fontId="118" fillId="11" borderId="20" xfId="0" applyFont="1" applyFill="1" applyBorder="1" applyAlignment="1" applyProtection="1">
      <alignment horizontal="left" vertical="top" wrapText="1"/>
    </xf>
    <xf numFmtId="0" fontId="118" fillId="11" borderId="21" xfId="0" applyFont="1" applyFill="1" applyBorder="1" applyAlignment="1" applyProtection="1">
      <alignment horizontal="left" vertical="top" wrapText="1"/>
    </xf>
    <xf numFmtId="0" fontId="118" fillId="11" borderId="26" xfId="0" applyFont="1" applyFill="1" applyBorder="1" applyAlignment="1" applyProtection="1">
      <alignment horizontal="left" vertical="top" wrapText="1"/>
    </xf>
    <xf numFmtId="0" fontId="120" fillId="11" borderId="20" xfId="0" applyFont="1" applyFill="1" applyBorder="1" applyAlignment="1" applyProtection="1">
      <alignment horizontal="left" vertical="top" wrapText="1"/>
    </xf>
    <xf numFmtId="0" fontId="120" fillId="11" borderId="21" xfId="0" quotePrefix="1" applyFont="1" applyFill="1" applyBorder="1" applyAlignment="1" applyProtection="1">
      <alignment horizontal="left" vertical="top" wrapText="1"/>
    </xf>
    <xf numFmtId="0" fontId="120" fillId="11" borderId="26" xfId="0" quotePrefix="1" applyFont="1" applyFill="1" applyBorder="1" applyAlignment="1" applyProtection="1">
      <alignment horizontal="left" vertical="top" wrapText="1"/>
    </xf>
    <xf numFmtId="0" fontId="120" fillId="11" borderId="21" xfId="0" applyFont="1" applyFill="1" applyBorder="1" applyAlignment="1" applyProtection="1">
      <alignment horizontal="left" vertical="top" wrapText="1"/>
    </xf>
    <xf numFmtId="0" fontId="120" fillId="11" borderId="26" xfId="0" applyFont="1" applyFill="1" applyBorder="1" applyAlignment="1" applyProtection="1">
      <alignment horizontal="left" vertical="top" wrapText="1"/>
    </xf>
    <xf numFmtId="0" fontId="115" fillId="11" borderId="20" xfId="0" applyFont="1" applyFill="1" applyBorder="1" applyAlignment="1" applyProtection="1">
      <alignment horizontal="left" vertical="center" wrapText="1"/>
    </xf>
    <xf numFmtId="0" fontId="115" fillId="11" borderId="21" xfId="0" applyFont="1" applyFill="1" applyBorder="1" applyAlignment="1" applyProtection="1">
      <alignment horizontal="left" vertical="center" wrapText="1"/>
    </xf>
    <xf numFmtId="0" fontId="115" fillId="11" borderId="26" xfId="0" applyFont="1" applyFill="1" applyBorder="1" applyAlignment="1" applyProtection="1">
      <alignment horizontal="left" vertical="center" wrapText="1"/>
    </xf>
    <xf numFmtId="0" fontId="55" fillId="11" borderId="20" xfId="0" quotePrefix="1" applyFont="1" applyFill="1" applyBorder="1" applyAlignment="1" applyProtection="1">
      <alignment horizontal="left" vertical="center" wrapText="1"/>
    </xf>
    <xf numFmtId="0" fontId="55" fillId="11" borderId="21" xfId="0" applyFont="1" applyFill="1" applyBorder="1" applyAlignment="1" applyProtection="1">
      <alignment horizontal="left" vertical="center" wrapText="1"/>
    </xf>
    <xf numFmtId="0" fontId="55" fillId="11" borderId="26" xfId="0" applyFont="1" applyFill="1" applyBorder="1" applyAlignment="1" applyProtection="1">
      <alignment horizontal="left" vertical="center" wrapText="1"/>
    </xf>
    <xf numFmtId="0" fontId="1" fillId="2" borderId="33" xfId="0" applyFont="1" applyFill="1" applyBorder="1" applyAlignment="1" applyProtection="1">
      <alignment horizontal="left" vertical="center" wrapText="1"/>
    </xf>
    <xf numFmtId="0" fontId="1" fillId="2" borderId="67" xfId="0" applyFont="1" applyFill="1" applyBorder="1" applyAlignment="1" applyProtection="1">
      <alignment horizontal="left" vertical="center" wrapText="1"/>
    </xf>
    <xf numFmtId="0" fontId="90" fillId="2" borderId="20" xfId="0" applyFont="1" applyFill="1" applyBorder="1" applyAlignment="1" applyProtection="1">
      <alignment horizontal="center" vertical="center"/>
    </xf>
    <xf numFmtId="0" fontId="90" fillId="2" borderId="21" xfId="0" applyFont="1" applyFill="1" applyBorder="1" applyAlignment="1" applyProtection="1">
      <alignment horizontal="center" vertical="center"/>
    </xf>
    <xf numFmtId="0" fontId="90" fillId="2" borderId="26" xfId="0" applyFont="1" applyFill="1" applyBorder="1" applyAlignment="1" applyProtection="1">
      <alignment horizontal="center" vertical="center"/>
    </xf>
    <xf numFmtId="0" fontId="0" fillId="2" borderId="31" xfId="0" applyFill="1" applyBorder="1" applyAlignment="1" applyProtection="1">
      <alignment horizontal="center" vertical="center"/>
    </xf>
    <xf numFmtId="0" fontId="0" fillId="2" borderId="32" xfId="0" applyFill="1" applyBorder="1" applyAlignment="1" applyProtection="1">
      <alignment horizontal="center" vertical="center"/>
    </xf>
    <xf numFmtId="0" fontId="6" fillId="0" borderId="9" xfId="0" applyFont="1" applyFill="1" applyBorder="1" applyAlignment="1" applyProtection="1">
      <alignment horizontal="left" vertical="top" wrapText="1"/>
    </xf>
    <xf numFmtId="0" fontId="6" fillId="13" borderId="9" xfId="0" applyFont="1" applyFill="1" applyBorder="1" applyAlignment="1" applyProtection="1">
      <alignment horizontal="left" vertical="top" wrapText="1"/>
    </xf>
    <xf numFmtId="0" fontId="6" fillId="13" borderId="27" xfId="0" applyFont="1" applyFill="1" applyBorder="1" applyAlignment="1" applyProtection="1">
      <alignment horizontal="left" vertical="top" wrapText="1"/>
    </xf>
    <xf numFmtId="0" fontId="6" fillId="0" borderId="13" xfId="0" applyFont="1" applyFill="1" applyBorder="1" applyAlignment="1" applyProtection="1">
      <alignment horizontal="left" vertical="top" wrapText="1"/>
    </xf>
    <xf numFmtId="0" fontId="6" fillId="13" borderId="13" xfId="0" applyFont="1" applyFill="1" applyBorder="1" applyAlignment="1" applyProtection="1">
      <alignment horizontal="left" vertical="top" wrapText="1"/>
    </xf>
    <xf numFmtId="0" fontId="6" fillId="13" borderId="14" xfId="0" applyFont="1" applyFill="1" applyBorder="1" applyAlignment="1" applyProtection="1">
      <alignment horizontal="left" vertical="top" wrapText="1"/>
    </xf>
    <xf numFmtId="0" fontId="6" fillId="0" borderId="30" xfId="0" applyFont="1" applyFill="1" applyBorder="1" applyAlignment="1" applyProtection="1">
      <alignment horizontal="left" vertical="top" wrapText="1"/>
    </xf>
    <xf numFmtId="0" fontId="6" fillId="0" borderId="41" xfId="0" applyFont="1" applyFill="1" applyBorder="1" applyAlignment="1" applyProtection="1">
      <alignment horizontal="left" vertical="top" wrapText="1"/>
    </xf>
    <xf numFmtId="0" fontId="6" fillId="0" borderId="15" xfId="0" applyFont="1" applyFill="1" applyBorder="1" applyAlignment="1" applyProtection="1">
      <alignment horizontal="left" vertical="top" wrapText="1"/>
    </xf>
    <xf numFmtId="0" fontId="6" fillId="22" borderId="2" xfId="0" applyFont="1" applyFill="1" applyBorder="1" applyAlignment="1">
      <alignment horizontal="left" vertical="top" wrapText="1"/>
    </xf>
    <xf numFmtId="0" fontId="6" fillId="22" borderId="62" xfId="0" applyFont="1" applyFill="1" applyBorder="1" applyAlignment="1" applyProtection="1">
      <alignment horizontal="left" vertical="top" wrapText="1"/>
    </xf>
    <xf numFmtId="0" fontId="6" fillId="22" borderId="78" xfId="0" applyFont="1" applyFill="1" applyBorder="1" applyAlignment="1" applyProtection="1">
      <alignment horizontal="left" vertical="top" wrapText="1"/>
    </xf>
    <xf numFmtId="0" fontId="6" fillId="22" borderId="66" xfId="0" applyFont="1" applyFill="1" applyBorder="1" applyAlignment="1" applyProtection="1">
      <alignment horizontal="left" vertical="top" wrapText="1"/>
    </xf>
    <xf numFmtId="0" fontId="6" fillId="13" borderId="30" xfId="0" applyFont="1" applyFill="1" applyBorder="1" applyAlignment="1" applyProtection="1">
      <alignment horizontal="left" vertical="top" wrapText="1"/>
    </xf>
    <xf numFmtId="0" fontId="6" fillId="13" borderId="41" xfId="0" applyFont="1" applyFill="1" applyBorder="1" applyAlignment="1" applyProtection="1">
      <alignment horizontal="left" vertical="top" wrapText="1"/>
    </xf>
    <xf numFmtId="0" fontId="6" fillId="13" borderId="75" xfId="0" applyFont="1" applyFill="1" applyBorder="1" applyAlignment="1" applyProtection="1">
      <alignment horizontal="left" vertical="top" wrapText="1"/>
    </xf>
    <xf numFmtId="0" fontId="6" fillId="4" borderId="30" xfId="0" applyFont="1" applyFill="1" applyBorder="1" applyAlignment="1" applyProtection="1">
      <alignment horizontal="center" vertical="top" wrapText="1"/>
      <protection locked="0"/>
    </xf>
    <xf numFmtId="0" fontId="6" fillId="4" borderId="41" xfId="0" applyFont="1" applyFill="1" applyBorder="1" applyAlignment="1" applyProtection="1">
      <alignment horizontal="center" vertical="top" wrapText="1"/>
      <protection locked="0"/>
    </xf>
    <xf numFmtId="0" fontId="6" fillId="4" borderId="75" xfId="0" applyFont="1" applyFill="1" applyBorder="1" applyAlignment="1" applyProtection="1">
      <alignment horizontal="center" vertical="top" wrapText="1"/>
      <protection locked="0"/>
    </xf>
    <xf numFmtId="0" fontId="6" fillId="22" borderId="2" xfId="0" applyFont="1" applyFill="1" applyBorder="1" applyAlignment="1" applyProtection="1">
      <alignment horizontal="left" vertical="top" wrapText="1"/>
    </xf>
    <xf numFmtId="167" fontId="6" fillId="4" borderId="33" xfId="0" applyNumberFormat="1" applyFont="1" applyFill="1" applyBorder="1" applyAlignment="1" applyProtection="1">
      <alignment horizontal="center" vertical="top" wrapText="1"/>
      <protection locked="0"/>
    </xf>
    <xf numFmtId="167" fontId="6" fillId="4" borderId="81" xfId="0" applyNumberFormat="1" applyFont="1" applyFill="1" applyBorder="1" applyAlignment="1" applyProtection="1">
      <alignment horizontal="center" vertical="top" wrapText="1"/>
      <protection locked="0"/>
    </xf>
    <xf numFmtId="0" fontId="6" fillId="4" borderId="30" xfId="0" applyFont="1" applyFill="1" applyBorder="1" applyAlignment="1" applyProtection="1">
      <alignment horizontal="left" vertical="top" wrapText="1"/>
      <protection locked="0"/>
    </xf>
    <xf numFmtId="0" fontId="6" fillId="4" borderId="41" xfId="0" applyFont="1" applyFill="1" applyBorder="1" applyAlignment="1" applyProtection="1">
      <alignment horizontal="left" vertical="top" wrapText="1"/>
      <protection locked="0"/>
    </xf>
    <xf numFmtId="0" fontId="6" fillId="4" borderId="15" xfId="0" applyFont="1" applyFill="1" applyBorder="1" applyAlignment="1" applyProtection="1">
      <alignment horizontal="left" vertical="top" wrapText="1"/>
      <protection locked="0"/>
    </xf>
    <xf numFmtId="0" fontId="6" fillId="22" borderId="13" xfId="0" applyFont="1" applyFill="1" applyBorder="1" applyAlignment="1">
      <alignment horizontal="left" vertical="top" wrapText="1"/>
    </xf>
    <xf numFmtId="0" fontId="6" fillId="22" borderId="13" xfId="0" applyFont="1" applyFill="1" applyBorder="1" applyAlignment="1" applyProtection="1">
      <alignment horizontal="left" vertical="top" wrapText="1"/>
    </xf>
    <xf numFmtId="167" fontId="6" fillId="4" borderId="61" xfId="0" applyNumberFormat="1" applyFont="1" applyFill="1" applyBorder="1" applyAlignment="1" applyProtection="1">
      <alignment horizontal="center" vertical="top" wrapText="1"/>
      <protection locked="0"/>
    </xf>
    <xf numFmtId="167" fontId="6" fillId="4" borderId="79" xfId="0" applyNumberFormat="1" applyFont="1" applyFill="1" applyBorder="1" applyAlignment="1" applyProtection="1">
      <alignment horizontal="center" vertical="top" wrapText="1"/>
      <protection locked="0"/>
    </xf>
    <xf numFmtId="0" fontId="6" fillId="0" borderId="2"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30" xfId="0" applyFont="1" applyFill="1" applyBorder="1" applyAlignment="1">
      <alignment horizontal="left" vertical="top" wrapText="1"/>
    </xf>
    <xf numFmtId="0" fontId="6" fillId="0" borderId="41" xfId="0" applyFont="1" applyFill="1" applyBorder="1" applyAlignment="1">
      <alignment horizontal="left" vertical="top" wrapText="1"/>
    </xf>
    <xf numFmtId="0" fontId="6" fillId="0" borderId="15" xfId="0" applyFont="1" applyFill="1" applyBorder="1" applyAlignment="1">
      <alignment horizontal="left" vertical="top" wrapText="1"/>
    </xf>
    <xf numFmtId="0" fontId="4" fillId="4" borderId="2" xfId="0" applyFont="1" applyFill="1" applyBorder="1" applyAlignment="1" applyProtection="1">
      <alignment horizontal="center"/>
      <protection locked="0"/>
    </xf>
    <xf numFmtId="0" fontId="0" fillId="4" borderId="2" xfId="0" applyFill="1" applyBorder="1" applyAlignment="1" applyProtection="1">
      <alignment horizontal="center"/>
      <protection locked="0"/>
    </xf>
    <xf numFmtId="0" fontId="0" fillId="4" borderId="16" xfId="0" applyFill="1" applyBorder="1" applyAlignment="1" applyProtection="1">
      <alignment horizontal="center"/>
      <protection locked="0"/>
    </xf>
    <xf numFmtId="0" fontId="6" fillId="4" borderId="2" xfId="0" applyFont="1" applyFill="1" applyBorder="1" applyAlignment="1" applyProtection="1">
      <alignment horizontal="center" vertical="top" wrapText="1"/>
      <protection locked="0"/>
    </xf>
    <xf numFmtId="0" fontId="6" fillId="4" borderId="16" xfId="0" applyFont="1" applyFill="1" applyBorder="1" applyAlignment="1" applyProtection="1">
      <alignment horizontal="center" vertical="top" wrapText="1"/>
      <protection locked="0"/>
    </xf>
    <xf numFmtId="0" fontId="6" fillId="22" borderId="2" xfId="0" applyFont="1" applyFill="1" applyBorder="1" applyAlignment="1" applyProtection="1">
      <alignment horizontal="center" vertical="top" wrapText="1"/>
    </xf>
    <xf numFmtId="0" fontId="6" fillId="4" borderId="61" xfId="0" applyFont="1" applyFill="1" applyBorder="1" applyAlignment="1" applyProtection="1">
      <alignment horizontal="center" vertical="top" wrapText="1"/>
      <protection locked="0"/>
    </xf>
    <xf numFmtId="0" fontId="6" fillId="4" borderId="78" xfId="0" applyFont="1" applyFill="1" applyBorder="1" applyAlignment="1" applyProtection="1">
      <alignment horizontal="center" vertical="top" wrapText="1"/>
      <protection locked="0"/>
    </xf>
    <xf numFmtId="0" fontId="6" fillId="4" borderId="66" xfId="0" applyFont="1" applyFill="1" applyBorder="1" applyAlignment="1" applyProtection="1">
      <alignment horizontal="center" vertical="top" wrapText="1"/>
      <protection locked="0"/>
    </xf>
    <xf numFmtId="14" fontId="27" fillId="4" borderId="30" xfId="0" applyNumberFormat="1" applyFont="1" applyFill="1" applyBorder="1" applyAlignment="1" applyProtection="1">
      <alignment horizontal="center" vertical="top" wrapText="1"/>
      <protection locked="0"/>
    </xf>
    <xf numFmtId="14" fontId="27" fillId="4" borderId="41" xfId="0" applyNumberFormat="1" applyFont="1" applyFill="1" applyBorder="1" applyAlignment="1" applyProtection="1">
      <alignment horizontal="center" vertical="top" wrapText="1"/>
      <protection locked="0"/>
    </xf>
    <xf numFmtId="14" fontId="27" fillId="4" borderId="75" xfId="0" applyNumberFormat="1" applyFont="1" applyFill="1" applyBorder="1" applyAlignment="1" applyProtection="1">
      <alignment horizontal="center" vertical="top" wrapText="1"/>
      <protection locked="0"/>
    </xf>
    <xf numFmtId="0" fontId="6" fillId="4" borderId="23" xfId="0" applyFont="1" applyFill="1" applyBorder="1" applyAlignment="1" applyProtection="1">
      <alignment horizontal="center" vertical="top" wrapText="1"/>
      <protection locked="0"/>
    </xf>
    <xf numFmtId="0" fontId="6" fillId="4" borderId="80" xfId="0" applyFont="1" applyFill="1" applyBorder="1" applyAlignment="1" applyProtection="1">
      <alignment horizontal="center" vertical="top" wrapText="1"/>
      <protection locked="0"/>
    </xf>
    <xf numFmtId="0" fontId="6" fillId="4" borderId="45" xfId="0" applyFont="1" applyFill="1" applyBorder="1" applyAlignment="1" applyProtection="1">
      <alignment horizontal="center" vertical="top" wrapText="1"/>
      <protection locked="0"/>
    </xf>
    <xf numFmtId="0" fontId="6" fillId="4" borderId="76" xfId="0" applyFont="1" applyFill="1" applyBorder="1" applyAlignment="1" applyProtection="1">
      <alignment horizontal="center" vertical="top" wrapText="1"/>
      <protection locked="0"/>
    </xf>
    <xf numFmtId="0" fontId="62" fillId="0" borderId="37" xfId="0" applyFont="1" applyFill="1" applyBorder="1" applyAlignment="1" applyProtection="1">
      <alignment horizontal="left" vertical="top" wrapText="1"/>
    </xf>
    <xf numFmtId="0" fontId="6" fillId="0" borderId="8" xfId="0" applyFont="1" applyFill="1" applyBorder="1" applyAlignment="1" applyProtection="1">
      <alignment horizontal="left" vertical="top" wrapText="1"/>
    </xf>
    <xf numFmtId="0" fontId="6" fillId="22" borderId="51" xfId="0" applyFont="1" applyFill="1" applyBorder="1" applyAlignment="1">
      <alignment horizontal="left" vertical="top" wrapText="1"/>
    </xf>
    <xf numFmtId="0" fontId="6" fillId="22" borderId="41" xfId="0" applyFont="1" applyFill="1" applyBorder="1" applyAlignment="1">
      <alignment horizontal="left" vertical="top" wrapText="1"/>
    </xf>
    <xf numFmtId="0" fontId="6" fillId="22" borderId="15" xfId="0" applyFont="1" applyFill="1" applyBorder="1" applyAlignment="1">
      <alignment horizontal="left" vertical="top" wrapText="1"/>
    </xf>
    <xf numFmtId="0" fontId="6" fillId="0" borderId="51" xfId="0" applyFont="1" applyFill="1" applyBorder="1" applyAlignment="1">
      <alignment horizontal="left" vertical="top" wrapText="1"/>
    </xf>
    <xf numFmtId="0" fontId="6" fillId="0" borderId="74" xfId="0" applyFont="1" applyFill="1" applyBorder="1" applyAlignment="1">
      <alignment horizontal="left" vertical="top" wrapText="1"/>
    </xf>
    <xf numFmtId="0" fontId="6" fillId="0" borderId="82" xfId="0" applyFont="1" applyFill="1" applyBorder="1" applyAlignment="1">
      <alignment horizontal="left" vertical="top" wrapText="1"/>
    </xf>
    <xf numFmtId="0" fontId="27" fillId="4" borderId="30" xfId="0" applyFont="1" applyFill="1" applyBorder="1" applyAlignment="1" applyProtection="1">
      <alignment horizontal="center" vertical="top" wrapText="1"/>
      <protection locked="0"/>
    </xf>
    <xf numFmtId="0" fontId="27" fillId="4" borderId="41" xfId="0" applyFont="1" applyFill="1" applyBorder="1" applyAlignment="1" applyProtection="1">
      <alignment horizontal="center" vertical="top" wrapText="1"/>
      <protection locked="0"/>
    </xf>
    <xf numFmtId="0" fontId="27" fillId="4" borderId="75" xfId="0" applyFont="1" applyFill="1" applyBorder="1" applyAlignment="1" applyProtection="1">
      <alignment horizontal="center" vertical="top" wrapText="1"/>
      <protection locked="0"/>
    </xf>
    <xf numFmtId="0" fontId="6" fillId="0" borderId="51" xfId="0" applyFont="1" applyFill="1" applyBorder="1" applyAlignment="1">
      <alignment horizontal="left" vertical="top"/>
    </xf>
    <xf numFmtId="0" fontId="6" fillId="0" borderId="41" xfId="0" applyFont="1" applyFill="1" applyBorder="1" applyAlignment="1">
      <alignment horizontal="left" vertical="top"/>
    </xf>
    <xf numFmtId="0" fontId="6" fillId="0" borderId="15" xfId="0" applyFont="1" applyFill="1" applyBorder="1" applyAlignment="1">
      <alignment horizontal="left" vertical="top"/>
    </xf>
    <xf numFmtId="0" fontId="6" fillId="0" borderId="37" xfId="0" applyFont="1" applyFill="1" applyBorder="1" applyAlignment="1" applyProtection="1">
      <alignment horizontal="left" vertical="top" wrapText="1"/>
    </xf>
    <xf numFmtId="164" fontId="6" fillId="13" borderId="61" xfId="0" applyNumberFormat="1" applyFont="1" applyFill="1" applyBorder="1" applyAlignment="1" applyProtection="1">
      <alignment horizontal="center" vertical="top" wrapText="1"/>
    </xf>
    <xf numFmtId="164" fontId="6" fillId="13" borderId="79" xfId="0" applyNumberFormat="1" applyFont="1" applyFill="1" applyBorder="1" applyAlignment="1" applyProtection="1">
      <alignment horizontal="center" vertical="top" wrapText="1"/>
    </xf>
    <xf numFmtId="0" fontId="6" fillId="0" borderId="75" xfId="0" applyFont="1" applyFill="1" applyBorder="1" applyAlignment="1">
      <alignment horizontal="left" vertical="top" wrapText="1"/>
    </xf>
    <xf numFmtId="0" fontId="8" fillId="6" borderId="20" xfId="0" applyFont="1" applyFill="1" applyBorder="1" applyAlignment="1">
      <alignment horizontal="center" wrapText="1"/>
    </xf>
    <xf numFmtId="0" fontId="8" fillId="6" borderId="21" xfId="0" applyFont="1" applyFill="1" applyBorder="1" applyAlignment="1">
      <alignment horizontal="center" wrapText="1"/>
    </xf>
    <xf numFmtId="0" fontId="8" fillId="6" borderId="26" xfId="0" applyFont="1" applyFill="1" applyBorder="1" applyAlignment="1">
      <alignment horizontal="center" wrapText="1"/>
    </xf>
    <xf numFmtId="0" fontId="6" fillId="0" borderId="19" xfId="0" applyFont="1" applyFill="1" applyBorder="1" applyAlignment="1">
      <alignment horizontal="left" vertical="top" wrapText="1"/>
    </xf>
    <xf numFmtId="0" fontId="6" fillId="0" borderId="51" xfId="0" applyFont="1" applyFill="1" applyBorder="1" applyAlignment="1" applyProtection="1">
      <alignment horizontal="left" vertical="top" wrapText="1"/>
    </xf>
    <xf numFmtId="0" fontId="6" fillId="0" borderId="47" xfId="0" applyFont="1" applyFill="1" applyBorder="1" applyAlignment="1" applyProtection="1">
      <alignment horizontal="left" vertical="top" wrapText="1"/>
    </xf>
    <xf numFmtId="0" fontId="6" fillId="0" borderId="19" xfId="0" applyFont="1" applyFill="1" applyBorder="1" applyAlignment="1" applyProtection="1">
      <alignment horizontal="left" vertical="top" wrapText="1"/>
    </xf>
    <xf numFmtId="0" fontId="24" fillId="4" borderId="30" xfId="0" applyFont="1" applyFill="1" applyBorder="1" applyAlignment="1" applyProtection="1">
      <alignment horizontal="center" vertical="top" wrapText="1"/>
      <protection locked="0"/>
    </xf>
    <xf numFmtId="0" fontId="24" fillId="4" borderId="41" xfId="0" applyFont="1" applyFill="1" applyBorder="1" applyAlignment="1" applyProtection="1">
      <alignment horizontal="center" vertical="top" wrapText="1"/>
      <protection locked="0"/>
    </xf>
    <xf numFmtId="0" fontId="24" fillId="4" borderId="75" xfId="0" applyFont="1" applyFill="1" applyBorder="1" applyAlignment="1" applyProtection="1">
      <alignment horizontal="center" vertical="top" wrapText="1"/>
      <protection locked="0"/>
    </xf>
    <xf numFmtId="0" fontId="6" fillId="0" borderId="22" xfId="0" applyFont="1" applyFill="1" applyBorder="1" applyAlignment="1">
      <alignment horizontal="left" vertical="top" wrapText="1"/>
    </xf>
    <xf numFmtId="0" fontId="6" fillId="0" borderId="22" xfId="0" applyFont="1" applyFill="1" applyBorder="1" applyAlignment="1" applyProtection="1">
      <alignment horizontal="left" vertical="top" wrapText="1"/>
    </xf>
    <xf numFmtId="0" fontId="6" fillId="0" borderId="2" xfId="0" applyFont="1" applyFill="1" applyBorder="1" applyAlignment="1" applyProtection="1">
      <alignment horizontal="left" vertical="top" wrapText="1"/>
    </xf>
    <xf numFmtId="0" fontId="6" fillId="0" borderId="36" xfId="0" applyFont="1" applyFill="1" applyBorder="1" applyAlignment="1" applyProtection="1">
      <alignment horizontal="left" vertical="top" wrapText="1"/>
    </xf>
    <xf numFmtId="164" fontId="6" fillId="4" borderId="33" xfId="0" applyNumberFormat="1" applyFont="1" applyFill="1" applyBorder="1" applyAlignment="1" applyProtection="1">
      <alignment horizontal="center" vertical="top" wrapText="1"/>
      <protection locked="0"/>
    </xf>
    <xf numFmtId="164" fontId="6" fillId="4" borderId="81" xfId="0" applyNumberFormat="1" applyFont="1" applyFill="1" applyBorder="1" applyAlignment="1" applyProtection="1">
      <alignment horizontal="center" vertical="top" wrapText="1"/>
      <protection locked="0"/>
    </xf>
    <xf numFmtId="0" fontId="24" fillId="2" borderId="20" xfId="0" applyFont="1" applyFill="1" applyBorder="1" applyAlignment="1">
      <alignment horizontal="center"/>
    </xf>
    <xf numFmtId="0" fontId="24" fillId="2" borderId="26" xfId="0" applyFont="1" applyFill="1" applyBorder="1" applyAlignment="1">
      <alignment horizontal="center"/>
    </xf>
    <xf numFmtId="0" fontId="24" fillId="2" borderId="46" xfId="0" applyFont="1" applyFill="1" applyBorder="1" applyAlignment="1">
      <alignment horizontal="left"/>
    </xf>
    <xf numFmtId="0" fontId="24" fillId="2" borderId="34" xfId="0" applyFont="1" applyFill="1" applyBorder="1" applyAlignment="1">
      <alignment horizontal="left"/>
    </xf>
    <xf numFmtId="0" fontId="6" fillId="0" borderId="8" xfId="0" applyFont="1" applyFill="1" applyBorder="1" applyAlignment="1" applyProtection="1">
      <alignment horizontal="center" vertical="top" wrapText="1"/>
      <protection locked="0"/>
    </xf>
    <xf numFmtId="0" fontId="6" fillId="0" borderId="9" xfId="0" applyFont="1" applyFill="1" applyBorder="1" applyAlignment="1" applyProtection="1">
      <alignment horizontal="center" vertical="top" wrapText="1"/>
      <protection locked="0"/>
    </xf>
    <xf numFmtId="0" fontId="6" fillId="0" borderId="9" xfId="0" applyFont="1" applyFill="1" applyBorder="1" applyAlignment="1">
      <alignment horizontal="left" vertical="top" wrapText="1"/>
    </xf>
    <xf numFmtId="0" fontId="6" fillId="4" borderId="33" xfId="0" applyFont="1" applyFill="1" applyBorder="1" applyAlignment="1" applyProtection="1">
      <alignment horizontal="center" vertical="top" wrapText="1"/>
      <protection locked="0"/>
    </xf>
    <xf numFmtId="0" fontId="6" fillId="4" borderId="59" xfId="0" applyFont="1" applyFill="1" applyBorder="1" applyAlignment="1" applyProtection="1">
      <alignment horizontal="center" vertical="top" wrapText="1"/>
      <protection locked="0"/>
    </xf>
    <xf numFmtId="0" fontId="6" fillId="4" borderId="67" xfId="0" applyFont="1" applyFill="1" applyBorder="1" applyAlignment="1" applyProtection="1">
      <alignment horizontal="center" vertical="top" wrapText="1"/>
      <protection locked="0"/>
    </xf>
    <xf numFmtId="0" fontId="6" fillId="22" borderId="30" xfId="0" applyFont="1" applyFill="1" applyBorder="1" applyAlignment="1">
      <alignment horizontal="left" vertical="top" wrapText="1"/>
    </xf>
    <xf numFmtId="0" fontId="6" fillId="4" borderId="30" xfId="0" applyFont="1" applyFill="1" applyBorder="1" applyAlignment="1" applyProtection="1">
      <alignment horizontal="center" vertical="top"/>
      <protection locked="0"/>
    </xf>
    <xf numFmtId="0" fontId="6" fillId="4" borderId="15" xfId="0" applyFont="1" applyFill="1" applyBorder="1" applyAlignment="1" applyProtection="1">
      <alignment horizontal="center" vertical="top"/>
      <protection locked="0"/>
    </xf>
    <xf numFmtId="0" fontId="6" fillId="22" borderId="37" xfId="0" applyFont="1" applyFill="1" applyBorder="1" applyAlignment="1" applyProtection="1">
      <alignment horizontal="left" vertical="top" wrapText="1"/>
    </xf>
    <xf numFmtId="0" fontId="6" fillId="22" borderId="8" xfId="0" applyFont="1" applyFill="1" applyBorder="1" applyAlignment="1" applyProtection="1">
      <alignment horizontal="left" vertical="top" wrapText="1"/>
    </xf>
    <xf numFmtId="0" fontId="8" fillId="6" borderId="20" xfId="0" applyFont="1" applyFill="1" applyBorder="1" applyAlignment="1">
      <alignment horizontal="center" vertical="top" wrapText="1"/>
    </xf>
    <xf numFmtId="0" fontId="8" fillId="6" borderId="21" xfId="0" applyFont="1" applyFill="1" applyBorder="1" applyAlignment="1">
      <alignment horizontal="center" vertical="top"/>
    </xf>
    <xf numFmtId="0" fontId="8" fillId="6" borderId="26" xfId="0" applyFont="1" applyFill="1" applyBorder="1" applyAlignment="1">
      <alignment horizontal="center" vertical="top"/>
    </xf>
    <xf numFmtId="0" fontId="3" fillId="15" borderId="1" xfId="0" applyFont="1" applyFill="1" applyBorder="1" applyAlignment="1">
      <alignment horizontal="center" vertical="top"/>
    </xf>
    <xf numFmtId="0" fontId="0" fillId="15" borderId="3" xfId="0" applyFill="1" applyBorder="1"/>
    <xf numFmtId="0" fontId="3" fillId="15" borderId="56" xfId="0" applyFont="1" applyFill="1" applyBorder="1" applyAlignment="1">
      <alignment horizontal="center" vertical="top"/>
    </xf>
    <xf numFmtId="0" fontId="3" fillId="15" borderId="29" xfId="0" applyFont="1" applyFill="1" applyBorder="1" applyAlignment="1">
      <alignment horizontal="center" vertical="top"/>
    </xf>
    <xf numFmtId="0" fontId="4" fillId="0" borderId="8" xfId="0" applyFont="1" applyFill="1" applyBorder="1" applyAlignment="1">
      <alignment horizontal="left" vertical="top" wrapText="1"/>
    </xf>
    <xf numFmtId="0" fontId="48" fillId="2" borderId="0" xfId="1" applyFont="1" applyFill="1" applyBorder="1" applyAlignment="1" applyProtection="1">
      <alignment horizontal="left" vertical="top"/>
    </xf>
    <xf numFmtId="0" fontId="0" fillId="19" borderId="0" xfId="0" applyFill="1" applyAlignment="1">
      <alignment horizontal="left" vertical="top"/>
    </xf>
    <xf numFmtId="0" fontId="41" fillId="2" borderId="0" xfId="0" applyFont="1" applyFill="1" applyBorder="1" applyAlignment="1">
      <alignment horizontal="center" vertical="top" wrapText="1"/>
    </xf>
    <xf numFmtId="0" fontId="41" fillId="2" borderId="0" xfId="0" applyFont="1" applyFill="1" applyBorder="1" applyAlignment="1">
      <alignment horizontal="center" vertical="top"/>
    </xf>
    <xf numFmtId="0" fontId="24" fillId="2" borderId="10" xfId="0" applyFont="1" applyFill="1" applyBorder="1" applyAlignment="1">
      <alignment horizontal="center"/>
    </xf>
    <xf numFmtId="0" fontId="24" fillId="2" borderId="28" xfId="0" applyFont="1" applyFill="1" applyBorder="1" applyAlignment="1">
      <alignment horizontal="center"/>
    </xf>
    <xf numFmtId="0" fontId="4" fillId="0" borderId="2" xfId="0" applyFont="1" applyFill="1" applyBorder="1" applyAlignment="1">
      <alignment horizontal="left" vertical="top" wrapText="1"/>
    </xf>
    <xf numFmtId="0" fontId="4" fillId="0" borderId="9" xfId="0" applyFont="1" applyFill="1" applyBorder="1" applyAlignment="1">
      <alignment horizontal="left" vertical="top" wrapText="1"/>
    </xf>
    <xf numFmtId="0" fontId="3" fillId="2" borderId="0" xfId="0" applyFont="1" applyFill="1" applyBorder="1" applyAlignment="1">
      <alignment horizontal="center" vertical="center"/>
    </xf>
    <xf numFmtId="0" fontId="0" fillId="0" borderId="36" xfId="0" applyFill="1" applyBorder="1" applyAlignment="1">
      <alignment horizontal="left" vertical="center" wrapText="1"/>
    </xf>
    <xf numFmtId="0" fontId="0" fillId="0" borderId="9" xfId="0" applyFill="1" applyBorder="1" applyAlignment="1">
      <alignment horizontal="left" vertical="center" wrapText="1"/>
    </xf>
    <xf numFmtId="0" fontId="0" fillId="15" borderId="1" xfId="0" applyFill="1" applyBorder="1" applyAlignment="1">
      <alignment horizontal="center" vertical="center" wrapText="1"/>
    </xf>
    <xf numFmtId="0" fontId="0" fillId="15" borderId="3" xfId="0" applyFill="1" applyBorder="1" applyAlignment="1">
      <alignment horizontal="center" vertical="center" wrapText="1"/>
    </xf>
    <xf numFmtId="0" fontId="45" fillId="4" borderId="2" xfId="0" applyFont="1" applyFill="1" applyBorder="1" applyAlignment="1" applyProtection="1">
      <alignment horizontal="center" vertical="center" wrapText="1"/>
      <protection locked="0"/>
    </xf>
    <xf numFmtId="0" fontId="45" fillId="4" borderId="16" xfId="0" applyFont="1" applyFill="1" applyBorder="1" applyAlignment="1" applyProtection="1">
      <alignment horizontal="center" vertical="center" wrapText="1"/>
      <protection locked="0"/>
    </xf>
    <xf numFmtId="0" fontId="45" fillId="4" borderId="19" xfId="0" applyFont="1" applyFill="1" applyBorder="1" applyAlignment="1" applyProtection="1">
      <alignment horizontal="center" vertical="center" wrapText="1"/>
      <protection locked="0"/>
    </xf>
    <xf numFmtId="0" fontId="45" fillId="4" borderId="31" xfId="0" applyFont="1" applyFill="1" applyBorder="1" applyAlignment="1" applyProtection="1">
      <alignment horizontal="center" vertical="center" wrapText="1"/>
      <protection locked="0"/>
    </xf>
    <xf numFmtId="0" fontId="45" fillId="4" borderId="8" xfId="0" applyFont="1" applyFill="1" applyBorder="1" applyAlignment="1" applyProtection="1">
      <alignment horizontal="center" vertical="center" wrapText="1"/>
      <protection locked="0"/>
    </xf>
    <xf numFmtId="0" fontId="45" fillId="4" borderId="38" xfId="0" applyFont="1" applyFill="1" applyBorder="1" applyAlignment="1" applyProtection="1">
      <alignment horizontal="center" vertical="center" wrapText="1"/>
      <protection locked="0"/>
    </xf>
    <xf numFmtId="0" fontId="3" fillId="15" borderId="69" xfId="0" applyFont="1" applyFill="1" applyBorder="1" applyAlignment="1">
      <alignment horizontal="center" vertical="center"/>
    </xf>
    <xf numFmtId="0" fontId="3" fillId="15" borderId="26" xfId="0" applyFont="1" applyFill="1" applyBorder="1" applyAlignment="1">
      <alignment horizontal="center" vertical="center"/>
    </xf>
    <xf numFmtId="0" fontId="0" fillId="2" borderId="0" xfId="0" applyFill="1" applyAlignment="1">
      <alignment horizontal="left" vertical="center"/>
    </xf>
    <xf numFmtId="0" fontId="69" fillId="2" borderId="0" xfId="0" applyFont="1" applyFill="1" applyAlignment="1">
      <alignment horizontal="left" vertical="center" wrapText="1"/>
    </xf>
    <xf numFmtId="0" fontId="85" fillId="11" borderId="4" xfId="0" applyFont="1" applyFill="1" applyBorder="1" applyAlignment="1">
      <alignment horizontal="center" vertical="center"/>
    </xf>
    <xf numFmtId="0" fontId="85" fillId="11" borderId="0" xfId="0" applyFont="1" applyFill="1" applyBorder="1" applyAlignment="1">
      <alignment horizontal="center" vertical="center"/>
    </xf>
    <xf numFmtId="0" fontId="89" fillId="11" borderId="0" xfId="0" applyFont="1" applyFill="1" applyAlignment="1">
      <alignment horizontal="center" vertical="center" wrapText="1"/>
    </xf>
    <xf numFmtId="0" fontId="8" fillId="6" borderId="20" xfId="0" applyFont="1" applyFill="1" applyBorder="1" applyAlignment="1">
      <alignment horizontal="center" vertical="center" wrapText="1"/>
    </xf>
    <xf numFmtId="0" fontId="8" fillId="6" borderId="21" xfId="0" applyFont="1" applyFill="1" applyBorder="1" applyAlignment="1">
      <alignment horizontal="center" vertical="center" wrapText="1"/>
    </xf>
    <xf numFmtId="0" fontId="8" fillId="6" borderId="26" xfId="0" applyFont="1" applyFill="1" applyBorder="1" applyAlignment="1">
      <alignment horizontal="center" vertical="center" wrapText="1"/>
    </xf>
    <xf numFmtId="0" fontId="0" fillId="0" borderId="44" xfId="0" applyFill="1" applyBorder="1" applyAlignment="1">
      <alignment horizontal="left" vertical="center" wrapText="1"/>
    </xf>
    <xf numFmtId="0" fontId="85" fillId="2" borderId="0" xfId="0" applyFont="1" applyFill="1" applyBorder="1" applyAlignment="1">
      <alignment horizontal="center" vertical="center"/>
    </xf>
    <xf numFmtId="0" fontId="0" fillId="0" borderId="37" xfId="0" applyFill="1" applyBorder="1" applyAlignment="1">
      <alignment horizontal="left" vertical="center" wrapText="1"/>
    </xf>
    <xf numFmtId="0" fontId="0" fillId="0" borderId="8" xfId="0" applyFill="1" applyBorder="1" applyAlignment="1">
      <alignment horizontal="left" vertical="center" wrapText="1"/>
    </xf>
    <xf numFmtId="0" fontId="45" fillId="4" borderId="9" xfId="0" applyFont="1" applyFill="1" applyBorder="1" applyAlignment="1" applyProtection="1">
      <alignment horizontal="center" vertical="center" wrapText="1"/>
      <protection locked="0"/>
    </xf>
    <xf numFmtId="0" fontId="45" fillId="4" borderId="27" xfId="0" applyFont="1" applyFill="1" applyBorder="1" applyAlignment="1" applyProtection="1">
      <alignment horizontal="center" vertical="center" wrapText="1"/>
      <protection locked="0"/>
    </xf>
    <xf numFmtId="0" fontId="45" fillId="4" borderId="13" xfId="0" applyFont="1" applyFill="1" applyBorder="1" applyAlignment="1" applyProtection="1">
      <alignment horizontal="center" vertical="center" wrapText="1"/>
      <protection locked="0"/>
    </xf>
    <xf numFmtId="0" fontId="45" fillId="4" borderId="14" xfId="0" applyFont="1" applyFill="1" applyBorder="1" applyAlignment="1" applyProtection="1">
      <alignment horizontal="center" vertical="center" wrapText="1"/>
      <protection locked="0"/>
    </xf>
    <xf numFmtId="0" fontId="0" fillId="0" borderId="22" xfId="0" applyFill="1" applyBorder="1" applyAlignment="1">
      <alignment horizontal="left" vertical="center" wrapText="1"/>
    </xf>
    <xf numFmtId="0" fontId="8" fillId="6" borderId="20" xfId="0" applyFont="1" applyFill="1" applyBorder="1" applyAlignment="1" applyProtection="1">
      <alignment horizontal="center" vertical="center" wrapText="1"/>
    </xf>
    <xf numFmtId="0" fontId="8" fillId="6" borderId="21" xfId="0" applyFont="1" applyFill="1" applyBorder="1" applyAlignment="1" applyProtection="1">
      <alignment horizontal="center" vertical="center" wrapText="1"/>
    </xf>
    <xf numFmtId="0" fontId="8" fillId="3" borderId="77" xfId="0" applyNumberFormat="1" applyFont="1" applyFill="1" applyBorder="1" applyAlignment="1" applyProtection="1">
      <alignment horizontal="center" vertical="center" wrapText="1"/>
    </xf>
    <xf numFmtId="0" fontId="8" fillId="3" borderId="5" xfId="0" applyNumberFormat="1" applyFont="1" applyFill="1" applyBorder="1" applyAlignment="1" applyProtection="1">
      <alignment horizontal="center" vertical="center" wrapText="1"/>
    </xf>
    <xf numFmtId="0" fontId="8" fillId="3" borderId="84" xfId="0" applyNumberFormat="1" applyFont="1" applyFill="1" applyBorder="1" applyAlignment="1" applyProtection="1">
      <alignment horizontal="center" vertical="center" wrapText="1"/>
    </xf>
    <xf numFmtId="0" fontId="8" fillId="3" borderId="85" xfId="0" applyNumberFormat="1" applyFont="1" applyFill="1" applyBorder="1" applyAlignment="1" applyProtection="1">
      <alignment horizontal="center" vertical="center" wrapText="1"/>
    </xf>
    <xf numFmtId="0" fontId="41" fillId="6" borderId="20" xfId="0" applyFont="1" applyFill="1" applyBorder="1" applyAlignment="1" applyProtection="1">
      <alignment horizontal="center" vertical="center" wrapText="1"/>
    </xf>
    <xf numFmtId="0" fontId="41" fillId="6" borderId="21" xfId="0"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4" xfId="0" applyFill="1" applyBorder="1" applyAlignment="1" applyProtection="1">
      <alignment horizontal="center" vertical="center" wrapText="1"/>
    </xf>
    <xf numFmtId="0" fontId="0" fillId="0" borderId="83" xfId="0" applyFill="1" applyBorder="1" applyAlignment="1" applyProtection="1">
      <alignment horizontal="center" vertical="center" wrapText="1"/>
    </xf>
    <xf numFmtId="0" fontId="87" fillId="2" borderId="0" xfId="1" applyNumberFormat="1" applyFont="1" applyFill="1" applyBorder="1" applyAlignment="1" applyProtection="1">
      <alignment horizontal="center" vertical="center" wrapText="1"/>
    </xf>
    <xf numFmtId="0" fontId="87" fillId="2" borderId="5" xfId="1" applyNumberFormat="1" applyFont="1" applyFill="1" applyBorder="1" applyAlignment="1" applyProtection="1">
      <alignment horizontal="center" vertical="center" wrapText="1"/>
    </xf>
    <xf numFmtId="0" fontId="3" fillId="15" borderId="11" xfId="0" applyFont="1" applyFill="1" applyBorder="1" applyAlignment="1" applyProtection="1">
      <alignment horizontal="center" vertical="center" wrapText="1"/>
    </xf>
    <xf numFmtId="0" fontId="3" fillId="6" borderId="20" xfId="0" applyFont="1" applyFill="1" applyBorder="1" applyAlignment="1" applyProtection="1">
      <alignment horizontal="center" vertical="center" wrapText="1"/>
    </xf>
    <xf numFmtId="0" fontId="3" fillId="6" borderId="26" xfId="0" applyFont="1" applyFill="1" applyBorder="1" applyAlignment="1" applyProtection="1">
      <alignment horizontal="center" vertical="center" wrapText="1"/>
    </xf>
    <xf numFmtId="0" fontId="24" fillId="6" borderId="20" xfId="0" applyFont="1" applyFill="1" applyBorder="1" applyAlignment="1" applyProtection="1">
      <alignment horizontal="center" vertical="center" wrapText="1"/>
    </xf>
    <xf numFmtId="0" fontId="24" fillId="6" borderId="26" xfId="0" applyFont="1" applyFill="1" applyBorder="1" applyAlignment="1" applyProtection="1">
      <alignment horizontal="center" vertical="center" wrapText="1"/>
    </xf>
    <xf numFmtId="0" fontId="0" fillId="0" borderId="47" xfId="0" applyNumberFormat="1" applyFill="1" applyBorder="1" applyAlignment="1" applyProtection="1">
      <alignment horizontal="left" vertical="center" wrapText="1"/>
    </xf>
    <xf numFmtId="0" fontId="0" fillId="0" borderId="44" xfId="0" applyNumberFormat="1" applyFill="1" applyBorder="1" applyAlignment="1" applyProtection="1">
      <alignment horizontal="left" vertical="center" wrapText="1"/>
    </xf>
    <xf numFmtId="0" fontId="0" fillId="0" borderId="42" xfId="0" applyNumberFormat="1" applyFill="1" applyBorder="1" applyAlignment="1" applyProtection="1">
      <alignment horizontal="left" vertical="center" wrapText="1"/>
    </xf>
    <xf numFmtId="0" fontId="0" fillId="0" borderId="43" xfId="0" applyNumberFormat="1" applyFill="1" applyBorder="1" applyAlignment="1" applyProtection="1">
      <alignment horizontal="left" vertical="center" wrapText="1"/>
    </xf>
    <xf numFmtId="0" fontId="0" fillId="0" borderId="4" xfId="0" applyNumberFormat="1" applyFill="1" applyBorder="1" applyAlignment="1" applyProtection="1">
      <alignment horizontal="left" vertical="center" wrapText="1"/>
    </xf>
    <xf numFmtId="0" fontId="0" fillId="0" borderId="46" xfId="0" applyNumberFormat="1" applyFill="1" applyBorder="1" applyAlignment="1" applyProtection="1">
      <alignment horizontal="left" vertical="center" wrapText="1"/>
    </xf>
    <xf numFmtId="0" fontId="0" fillId="0" borderId="39" xfId="0" applyNumberFormat="1" applyFill="1" applyBorder="1" applyAlignment="1" applyProtection="1">
      <alignment horizontal="left" vertical="center" wrapText="1"/>
    </xf>
    <xf numFmtId="0" fontId="0" fillId="2" borderId="3" xfId="0" applyFill="1" applyBorder="1" applyAlignment="1" applyProtection="1">
      <alignment horizontal="center" vertical="center" wrapText="1"/>
    </xf>
    <xf numFmtId="0" fontId="0" fillId="2" borderId="49"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0" borderId="47" xfId="0" applyFill="1" applyBorder="1" applyAlignment="1" applyProtection="1">
      <alignment horizontal="left" vertical="center" wrapText="1"/>
    </xf>
    <xf numFmtId="0" fontId="0" fillId="0" borderId="42" xfId="0" applyFill="1" applyBorder="1" applyAlignment="1" applyProtection="1">
      <alignment horizontal="left" vertical="center" wrapText="1"/>
    </xf>
    <xf numFmtId="0" fontId="0" fillId="0" borderId="46" xfId="0" applyFill="1" applyBorder="1" applyAlignment="1" applyProtection="1">
      <alignment horizontal="left" vertical="center" wrapText="1"/>
    </xf>
    <xf numFmtId="0" fontId="3" fillId="15" borderId="1" xfId="0" applyFont="1" applyFill="1" applyBorder="1" applyAlignment="1" applyProtection="1">
      <alignment horizontal="center" vertical="center" wrapText="1"/>
    </xf>
    <xf numFmtId="0" fontId="3" fillId="15" borderId="21" xfId="0" applyFont="1" applyFill="1" applyBorder="1" applyAlignment="1" applyProtection="1">
      <alignment horizontal="center" vertical="center" wrapText="1"/>
    </xf>
    <xf numFmtId="0" fontId="3" fillId="15" borderId="26" xfId="0" applyFont="1" applyFill="1" applyBorder="1" applyAlignment="1" applyProtection="1">
      <alignment horizontal="center" vertical="center" wrapText="1"/>
    </xf>
    <xf numFmtId="0" fontId="3" fillId="15" borderId="20" xfId="0" applyFont="1" applyFill="1" applyBorder="1" applyAlignment="1" applyProtection="1">
      <alignment horizontal="center" vertical="center" wrapText="1"/>
    </xf>
    <xf numFmtId="0" fontId="69" fillId="2" borderId="20" xfId="0" applyFont="1" applyFill="1" applyBorder="1" applyAlignment="1" applyProtection="1">
      <alignment horizontal="left" vertical="center" wrapText="1"/>
    </xf>
    <xf numFmtId="0" fontId="69" fillId="2" borderId="26" xfId="0" applyFont="1" applyFill="1" applyBorder="1" applyAlignment="1" applyProtection="1">
      <alignment horizontal="left" vertical="center" wrapText="1"/>
    </xf>
    <xf numFmtId="0" fontId="24" fillId="2" borderId="10" xfId="0" applyFont="1" applyFill="1" applyBorder="1" applyAlignment="1">
      <alignment horizontal="left"/>
    </xf>
    <xf numFmtId="0" fontId="24" fillId="2" borderId="28" xfId="0" applyFont="1" applyFill="1" applyBorder="1" applyAlignment="1">
      <alignment horizontal="left"/>
    </xf>
    <xf numFmtId="0" fontId="6" fillId="2" borderId="0" xfId="0" applyFont="1" applyFill="1" applyBorder="1" applyAlignment="1">
      <alignment horizontal="center"/>
    </xf>
    <xf numFmtId="0" fontId="0" fillId="0" borderId="2" xfId="0" applyFill="1" applyBorder="1" applyAlignment="1" applyProtection="1">
      <alignment horizontal="center" vertical="center" wrapText="1"/>
    </xf>
    <xf numFmtId="0" fontId="84" fillId="2" borderId="0" xfId="0" applyFont="1" applyFill="1" applyBorder="1" applyAlignment="1" applyProtection="1">
      <alignment horizontal="left" vertical="center" wrapText="1"/>
    </xf>
    <xf numFmtId="0" fontId="69" fillId="2" borderId="4" xfId="0" applyFont="1" applyFill="1" applyBorder="1" applyAlignment="1" applyProtection="1">
      <alignment horizontal="center" vertical="center" wrapText="1"/>
    </xf>
    <xf numFmtId="0" fontId="69" fillId="2" borderId="5" xfId="0" applyFont="1" applyFill="1" applyBorder="1" applyAlignment="1" applyProtection="1">
      <alignment horizontal="center" vertical="center" wrapText="1"/>
    </xf>
    <xf numFmtId="0" fontId="3" fillId="15" borderId="68" xfId="0" applyFont="1" applyFill="1" applyBorder="1" applyAlignment="1" applyProtection="1">
      <alignment horizontal="center" vertical="center" wrapText="1"/>
    </xf>
    <xf numFmtId="0" fontId="0" fillId="0" borderId="52" xfId="0" applyFill="1" applyBorder="1" applyAlignment="1" applyProtection="1">
      <alignment horizontal="left" vertical="center" wrapText="1"/>
    </xf>
    <xf numFmtId="0" fontId="0" fillId="0" borderId="59" xfId="0" applyFill="1" applyBorder="1" applyAlignment="1" applyProtection="1">
      <alignment horizontal="left" vertical="center" wrapText="1"/>
    </xf>
    <xf numFmtId="0" fontId="0" fillId="0" borderId="81" xfId="0" applyFill="1" applyBorder="1" applyAlignment="1" applyProtection="1">
      <alignment horizontal="left" vertical="center" wrapText="1"/>
    </xf>
    <xf numFmtId="0" fontId="110" fillId="0" borderId="30" xfId="1" applyFont="1" applyBorder="1" applyAlignment="1" applyProtection="1">
      <alignment horizontal="center" vertical="center"/>
    </xf>
    <xf numFmtId="0" fontId="110" fillId="0" borderId="15" xfId="1" applyFont="1" applyBorder="1" applyAlignment="1" applyProtection="1">
      <alignment horizontal="center" vertical="center"/>
    </xf>
    <xf numFmtId="0" fontId="3" fillId="15" borderId="48" xfId="0" applyNumberFormat="1" applyFont="1" applyFill="1" applyBorder="1" applyAlignment="1" applyProtection="1">
      <alignment horizontal="center" vertical="center" wrapText="1"/>
    </xf>
    <xf numFmtId="0" fontId="3" fillId="15" borderId="29" xfId="0" applyNumberFormat="1" applyFont="1" applyFill="1" applyBorder="1" applyAlignment="1" applyProtection="1">
      <alignment horizontal="center" vertical="center" wrapText="1"/>
    </xf>
    <xf numFmtId="0" fontId="11" fillId="6" borderId="20" xfId="0" applyFont="1" applyFill="1" applyBorder="1" applyAlignment="1" applyProtection="1">
      <alignment horizontal="center" vertical="center" wrapText="1"/>
    </xf>
    <xf numFmtId="0" fontId="11" fillId="6" borderId="21" xfId="0" applyFont="1" applyFill="1" applyBorder="1" applyAlignment="1" applyProtection="1">
      <alignment horizontal="center" vertical="center" wrapText="1"/>
    </xf>
    <xf numFmtId="0" fontId="0" fillId="0" borderId="39" xfId="0" applyFill="1" applyBorder="1" applyAlignment="1" applyProtection="1">
      <alignment horizontal="left" vertical="center" wrapText="1"/>
    </xf>
    <xf numFmtId="0" fontId="0" fillId="0" borderId="44" xfId="0" applyFill="1" applyBorder="1" applyAlignment="1" applyProtection="1">
      <alignment horizontal="left" vertical="center" wrapText="1"/>
    </xf>
    <xf numFmtId="0" fontId="0" fillId="0" borderId="39" xfId="0" applyFill="1" applyBorder="1" applyAlignment="1" applyProtection="1">
      <alignment horizontal="center" vertical="center" wrapText="1"/>
    </xf>
    <xf numFmtId="0" fontId="0" fillId="0" borderId="44" xfId="0" applyFill="1" applyBorder="1" applyAlignment="1" applyProtection="1">
      <alignment horizontal="center" vertical="center" wrapText="1"/>
    </xf>
    <xf numFmtId="0" fontId="0" fillId="0" borderId="46" xfId="0" applyFill="1" applyBorder="1" applyAlignment="1" applyProtection="1">
      <alignment horizontal="center" vertical="center" wrapText="1"/>
    </xf>
    <xf numFmtId="0" fontId="56" fillId="0" borderId="62" xfId="0" applyFont="1" applyBorder="1" applyAlignment="1">
      <alignment horizontal="center" vertical="center"/>
    </xf>
    <xf numFmtId="0" fontId="56" fillId="0" borderId="78" xfId="0" applyFont="1" applyBorder="1" applyAlignment="1">
      <alignment horizontal="center" vertical="center"/>
    </xf>
    <xf numFmtId="0" fontId="106" fillId="8" borderId="20" xfId="1" applyFont="1" applyFill="1" applyBorder="1" applyAlignment="1" applyProtection="1">
      <alignment horizontal="center" vertical="center"/>
    </xf>
    <xf numFmtId="0" fontId="106" fillId="8" borderId="21" xfId="1" applyFont="1" applyFill="1" applyBorder="1" applyAlignment="1" applyProtection="1">
      <alignment horizontal="center" vertical="center"/>
    </xf>
    <xf numFmtId="0" fontId="106" fillId="8" borderId="26" xfId="1" applyFont="1" applyFill="1" applyBorder="1" applyAlignment="1" applyProtection="1">
      <alignment horizontal="center" vertical="center"/>
    </xf>
    <xf numFmtId="0" fontId="56" fillId="0" borderId="62" xfId="0" applyFont="1" applyBorder="1" applyAlignment="1" applyProtection="1">
      <alignment horizontal="center" vertical="center"/>
    </xf>
    <xf numFmtId="0" fontId="56" fillId="0" borderId="78" xfId="0" applyFont="1" applyBorder="1" applyAlignment="1" applyProtection="1">
      <alignment horizontal="center" vertical="center"/>
    </xf>
    <xf numFmtId="0" fontId="56" fillId="0" borderId="4" xfId="0" applyFont="1" applyBorder="1" applyAlignment="1">
      <alignment horizontal="center"/>
    </xf>
    <xf numFmtId="0" fontId="56" fillId="0" borderId="0" xfId="0" applyFont="1" applyBorder="1" applyAlignment="1">
      <alignment horizontal="center"/>
    </xf>
    <xf numFmtId="0" fontId="106" fillId="8" borderId="4" xfId="1" applyFont="1" applyFill="1" applyBorder="1" applyAlignment="1" applyProtection="1">
      <alignment horizontal="center" vertical="center"/>
    </xf>
    <xf numFmtId="0" fontId="106" fillId="8" borderId="0" xfId="1" applyFont="1" applyFill="1" applyBorder="1" applyAlignment="1" applyProtection="1">
      <alignment horizontal="center" vertical="center"/>
    </xf>
    <xf numFmtId="0" fontId="75" fillId="7" borderId="20" xfId="0" applyFont="1" applyFill="1" applyBorder="1" applyAlignment="1" applyProtection="1">
      <alignment horizontal="center" wrapText="1"/>
    </xf>
    <xf numFmtId="0" fontId="75" fillId="7" borderId="21" xfId="0" applyFont="1" applyFill="1" applyBorder="1" applyAlignment="1" applyProtection="1">
      <alignment horizontal="center" wrapText="1"/>
    </xf>
    <xf numFmtId="0" fontId="75" fillId="7" borderId="26" xfId="0" applyFont="1" applyFill="1" applyBorder="1" applyAlignment="1" applyProtection="1">
      <alignment horizontal="center" wrapText="1"/>
    </xf>
    <xf numFmtId="0" fontId="70" fillId="2" borderId="0" xfId="0" applyFont="1" applyFill="1" applyAlignment="1" applyProtection="1">
      <alignment horizontal="center" vertical="center" wrapText="1"/>
    </xf>
    <xf numFmtId="0" fontId="86" fillId="2" borderId="0" xfId="0" applyFont="1" applyFill="1" applyAlignment="1" applyProtection="1">
      <alignment horizontal="center" vertical="center" wrapText="1"/>
    </xf>
    <xf numFmtId="0" fontId="70" fillId="2" borderId="0" xfId="0" applyFont="1" applyFill="1" applyAlignment="1" applyProtection="1">
      <alignment horizontal="center" wrapText="1"/>
    </xf>
    <xf numFmtId="0" fontId="5" fillId="4" borderId="13" xfId="1" applyFill="1" applyBorder="1" applyAlignment="1" applyProtection="1">
      <alignment horizontal="left" wrapText="1"/>
    </xf>
    <xf numFmtId="0" fontId="86" fillId="4" borderId="13" xfId="0" applyFont="1" applyFill="1" applyBorder="1" applyAlignment="1" applyProtection="1">
      <alignment horizontal="left" wrapText="1"/>
    </xf>
    <xf numFmtId="0" fontId="86" fillId="4" borderId="2" xfId="0" applyFont="1" applyFill="1" applyBorder="1" applyAlignment="1" applyProtection="1">
      <alignment horizontal="left" wrapText="1"/>
    </xf>
    <xf numFmtId="0" fontId="1" fillId="0" borderId="23" xfId="0" applyFont="1" applyFill="1" applyBorder="1" applyAlignment="1" applyProtection="1">
      <alignment horizontal="center" vertical="center" wrapText="1"/>
    </xf>
    <xf numFmtId="0" fontId="1" fillId="0" borderId="74" xfId="0" applyFont="1" applyFill="1" applyBorder="1" applyAlignment="1" applyProtection="1">
      <alignment horizontal="center" vertical="center" wrapText="1"/>
    </xf>
    <xf numFmtId="0" fontId="93" fillId="22" borderId="2" xfId="0" applyFont="1" applyFill="1" applyBorder="1" applyAlignment="1" applyProtection="1">
      <alignment horizontal="left" wrapText="1"/>
    </xf>
    <xf numFmtId="0" fontId="86" fillId="2" borderId="0" xfId="0" applyFont="1" applyFill="1" applyAlignment="1" applyProtection="1">
      <alignment horizontal="left" vertical="center" wrapText="1"/>
    </xf>
    <xf numFmtId="0" fontId="6" fillId="2" borderId="0" xfId="0" applyFont="1" applyFill="1" applyBorder="1" applyAlignment="1" applyProtection="1">
      <alignment horizontal="left" vertical="top" wrapText="1"/>
    </xf>
    <xf numFmtId="0" fontId="86" fillId="2" borderId="0" xfId="0" applyFont="1" applyFill="1" applyAlignment="1" applyProtection="1">
      <alignment horizontal="center" wrapText="1"/>
    </xf>
    <xf numFmtId="0" fontId="116" fillId="0" borderId="20" xfId="0" applyFont="1" applyFill="1" applyBorder="1" applyAlignment="1" applyProtection="1">
      <alignment horizontal="center" wrapText="1"/>
    </xf>
    <xf numFmtId="0" fontId="116" fillId="0" borderId="21" xfId="0" applyFont="1" applyFill="1" applyBorder="1" applyAlignment="1" applyProtection="1">
      <alignment horizontal="center" wrapText="1"/>
    </xf>
    <xf numFmtId="0" fontId="116" fillId="0" borderId="26" xfId="0" applyFont="1" applyFill="1" applyBorder="1" applyAlignment="1" applyProtection="1">
      <alignment horizontal="center" wrapText="1"/>
    </xf>
    <xf numFmtId="0" fontId="6" fillId="4" borderId="2" xfId="0" applyFont="1" applyFill="1" applyBorder="1" applyAlignment="1" applyProtection="1">
      <alignment horizontal="left" vertical="top" wrapText="1"/>
    </xf>
    <xf numFmtId="0" fontId="1" fillId="0" borderId="19" xfId="0" applyFont="1" applyFill="1" applyBorder="1" applyAlignment="1" applyProtection="1">
      <alignment horizontal="left" vertical="center" wrapText="1"/>
    </xf>
    <xf numFmtId="0" fontId="1" fillId="0" borderId="13" xfId="0" applyFont="1" applyFill="1" applyBorder="1" applyAlignment="1" applyProtection="1">
      <alignment horizontal="left" vertical="center" wrapText="1"/>
    </xf>
    <xf numFmtId="0" fontId="1"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left"/>
    </xf>
    <xf numFmtId="0" fontId="4" fillId="4" borderId="30" xfId="0" applyFont="1" applyFill="1" applyBorder="1" applyAlignment="1" applyProtection="1">
      <alignment horizontal="center" vertical="center"/>
    </xf>
    <xf numFmtId="0" fontId="4" fillId="4" borderId="41" xfId="0" applyFont="1" applyFill="1" applyBorder="1" applyAlignment="1" applyProtection="1">
      <alignment horizontal="center" vertical="center"/>
    </xf>
    <xf numFmtId="0" fontId="4" fillId="4" borderId="15" xfId="0" applyFont="1" applyFill="1" applyBorder="1" applyAlignment="1" applyProtection="1">
      <alignment horizontal="center" vertical="center"/>
    </xf>
    <xf numFmtId="0" fontId="112" fillId="22" borderId="37" xfId="0" applyFont="1" applyFill="1" applyBorder="1" applyAlignment="1" applyProtection="1">
      <alignment horizontal="left" vertical="top" wrapText="1"/>
    </xf>
    <xf numFmtId="0" fontId="112" fillId="22" borderId="8" xfId="0" applyFont="1" applyFill="1" applyBorder="1" applyAlignment="1" applyProtection="1">
      <alignment horizontal="left" vertical="top" wrapText="1"/>
    </xf>
    <xf numFmtId="0" fontId="112" fillId="22" borderId="38" xfId="0" applyFont="1" applyFill="1" applyBorder="1" applyAlignment="1" applyProtection="1">
      <alignment horizontal="left" vertical="top" wrapText="1"/>
    </xf>
    <xf numFmtId="0" fontId="0" fillId="4" borderId="2" xfId="0" applyFill="1" applyBorder="1" applyAlignment="1" applyProtection="1">
      <alignment horizontal="left" vertical="top" wrapText="1"/>
      <protection locked="0"/>
    </xf>
    <xf numFmtId="0" fontId="0" fillId="4" borderId="16" xfId="0" applyFill="1" applyBorder="1" applyAlignment="1" applyProtection="1">
      <alignment horizontal="left" vertical="top" wrapText="1"/>
      <protection locked="0"/>
    </xf>
    <xf numFmtId="0" fontId="26" fillId="22" borderId="22" xfId="0" applyFont="1" applyFill="1" applyBorder="1" applyAlignment="1" applyProtection="1">
      <alignment horizontal="left" vertical="top" wrapText="1"/>
    </xf>
    <xf numFmtId="0" fontId="26" fillId="22" borderId="2" xfId="0" applyFont="1" applyFill="1" applyBorder="1" applyAlignment="1" applyProtection="1">
      <alignment horizontal="left" vertical="top" wrapText="1"/>
    </xf>
    <xf numFmtId="0" fontId="26" fillId="22" borderId="36" xfId="0" applyFont="1" applyFill="1" applyBorder="1" applyAlignment="1" applyProtection="1">
      <alignment horizontal="left" vertical="top" wrapText="1"/>
    </xf>
    <xf numFmtId="0" fontId="26" fillId="22" borderId="9" xfId="0" applyFont="1" applyFill="1" applyBorder="1" applyAlignment="1" applyProtection="1">
      <alignment horizontal="left" vertical="top" wrapText="1"/>
    </xf>
    <xf numFmtId="0" fontId="0" fillId="4" borderId="9" xfId="0" applyFill="1" applyBorder="1" applyAlignment="1" applyProtection="1">
      <alignment horizontal="left" vertical="top" wrapText="1"/>
      <protection locked="0"/>
    </xf>
    <xf numFmtId="0" fontId="0" fillId="4" borderId="27" xfId="0" applyFill="1" applyBorder="1" applyAlignment="1" applyProtection="1">
      <alignment horizontal="left" vertical="top" wrapText="1"/>
      <protection locked="0"/>
    </xf>
    <xf numFmtId="0" fontId="57" fillId="7" borderId="2" xfId="0" applyFont="1" applyFill="1" applyBorder="1" applyAlignment="1" applyProtection="1">
      <alignment horizontal="center" wrapText="1"/>
    </xf>
    <xf numFmtId="0" fontId="26" fillId="22" borderId="2" xfId="0" applyFont="1" applyFill="1" applyBorder="1" applyAlignment="1" applyProtection="1">
      <alignment horizontal="center" wrapText="1"/>
    </xf>
    <xf numFmtId="0" fontId="6" fillId="13" borderId="2" xfId="0" applyFont="1" applyFill="1" applyBorder="1" applyAlignment="1" applyProtection="1">
      <alignment horizontal="center" vertical="top" wrapText="1"/>
    </xf>
    <xf numFmtId="14" fontId="26" fillId="13" borderId="2" xfId="0" applyNumberFormat="1" applyFont="1" applyFill="1" applyBorder="1" applyAlignment="1" applyProtection="1">
      <alignment horizontal="center" wrapText="1"/>
    </xf>
    <xf numFmtId="0" fontId="26" fillId="13" borderId="30" xfId="0" applyFont="1" applyFill="1" applyBorder="1" applyAlignment="1" applyProtection="1">
      <alignment horizontal="left" wrapText="1"/>
    </xf>
    <xf numFmtId="0" fontId="26" fillId="13" borderId="41" xfId="0" applyFont="1" applyFill="1" applyBorder="1" applyAlignment="1" applyProtection="1">
      <alignment horizontal="left" wrapText="1"/>
    </xf>
    <xf numFmtId="0" fontId="26" fillId="13" borderId="2" xfId="0" applyFont="1" applyFill="1" applyBorder="1" applyAlignment="1" applyProtection="1">
      <alignment horizontal="center" wrapText="1"/>
    </xf>
    <xf numFmtId="1" fontId="26" fillId="13" borderId="30" xfId="0" applyNumberFormat="1" applyFont="1" applyFill="1" applyBorder="1" applyAlignment="1" applyProtection="1">
      <alignment horizontal="left" wrapText="1"/>
    </xf>
    <xf numFmtId="1" fontId="26" fillId="13" borderId="15" xfId="0" applyNumberFormat="1" applyFont="1" applyFill="1" applyBorder="1" applyAlignment="1" applyProtection="1">
      <alignment horizontal="left" wrapText="1"/>
    </xf>
    <xf numFmtId="0" fontId="0" fillId="22" borderId="2" xfId="0" applyFill="1" applyBorder="1" applyAlignment="1" applyProtection="1">
      <alignment horizontal="left" vertical="center" wrapText="1"/>
    </xf>
    <xf numFmtId="0" fontId="0" fillId="22" borderId="2" xfId="0" applyFill="1" applyBorder="1" applyAlignment="1" applyProtection="1">
      <alignment horizontal="left" vertical="top" wrapText="1"/>
    </xf>
    <xf numFmtId="0" fontId="8" fillId="22" borderId="37" xfId="0" applyFont="1" applyFill="1" applyBorder="1" applyAlignment="1" applyProtection="1">
      <alignment horizontal="left" vertical="top" wrapText="1"/>
    </xf>
    <xf numFmtId="0" fontId="8" fillId="22" borderId="8" xfId="0" applyFont="1" applyFill="1" applyBorder="1" applyAlignment="1" applyProtection="1">
      <alignment horizontal="left" vertical="top" wrapText="1"/>
    </xf>
    <xf numFmtId="0" fontId="8" fillId="22" borderId="38" xfId="0" applyFont="1" applyFill="1" applyBorder="1" applyAlignment="1" applyProtection="1">
      <alignment horizontal="left" vertical="top" wrapText="1"/>
    </xf>
    <xf numFmtId="0" fontId="0" fillId="22" borderId="15" xfId="0" applyFill="1" applyBorder="1" applyAlignment="1" applyProtection="1">
      <alignment vertical="top" wrapText="1"/>
    </xf>
    <xf numFmtId="0" fontId="0" fillId="22" borderId="2" xfId="0" applyFill="1" applyBorder="1" applyAlignment="1" applyProtection="1">
      <alignment vertical="top" wrapText="1"/>
    </xf>
    <xf numFmtId="0" fontId="75" fillId="7" borderId="20" xfId="0" applyFont="1" applyFill="1" applyBorder="1" applyAlignment="1">
      <alignment horizontal="center" wrapText="1"/>
    </xf>
    <xf numFmtId="0" fontId="75" fillId="7" borderId="26" xfId="0" applyFont="1" applyFill="1" applyBorder="1" applyAlignment="1">
      <alignment horizontal="center" wrapText="1"/>
    </xf>
    <xf numFmtId="0" fontId="86" fillId="2" borderId="0" xfId="0" applyFont="1" applyFill="1" applyBorder="1" applyAlignment="1">
      <alignment horizontal="center" wrapText="1"/>
    </xf>
    <xf numFmtId="0" fontId="70" fillId="2" borderId="0" xfId="0" applyFont="1" applyFill="1" applyAlignment="1">
      <alignment horizontal="center" wrapText="1"/>
    </xf>
    <xf numFmtId="0" fontId="87" fillId="7" borderId="2" xfId="1" applyFont="1" applyFill="1" applyBorder="1" applyAlignment="1" applyProtection="1">
      <alignment horizontal="center" vertical="center"/>
    </xf>
    <xf numFmtId="0" fontId="93" fillId="7" borderId="2" xfId="0" applyFont="1" applyFill="1" applyBorder="1" applyAlignment="1">
      <alignment horizontal="center" vertical="center"/>
    </xf>
    <xf numFmtId="0" fontId="8" fillId="7" borderId="2" xfId="0" applyFont="1" applyFill="1" applyBorder="1" applyAlignment="1">
      <alignment horizontal="center" vertical="center" wrapText="1"/>
    </xf>
    <xf numFmtId="0" fontId="86" fillId="2" borderId="20" xfId="0" applyFont="1" applyFill="1" applyBorder="1" applyAlignment="1">
      <alignment horizontal="center" wrapText="1"/>
    </xf>
    <xf numFmtId="0" fontId="86" fillId="2" borderId="21" xfId="0" applyFont="1" applyFill="1" applyBorder="1" applyAlignment="1">
      <alignment horizontal="center" wrapText="1"/>
    </xf>
    <xf numFmtId="0" fontId="86" fillId="2" borderId="26" xfId="0" applyFont="1" applyFill="1" applyBorder="1" applyAlignment="1">
      <alignment horizontal="center" wrapText="1"/>
    </xf>
    <xf numFmtId="0" fontId="93" fillId="2" borderId="0" xfId="0" applyFont="1" applyFill="1" applyAlignment="1">
      <alignment horizontal="center" wrapText="1"/>
    </xf>
    <xf numFmtId="0" fontId="75" fillId="7" borderId="20" xfId="0" applyFont="1" applyFill="1" applyBorder="1" applyAlignment="1">
      <alignment horizontal="center"/>
    </xf>
    <xf numFmtId="0" fontId="75" fillId="7" borderId="26" xfId="0" applyFont="1" applyFill="1" applyBorder="1" applyAlignment="1">
      <alignment horizontal="center"/>
    </xf>
    <xf numFmtId="0" fontId="0" fillId="2" borderId="20" xfId="0" applyFill="1" applyBorder="1" applyAlignment="1">
      <alignment horizontal="center"/>
    </xf>
    <xf numFmtId="0" fontId="0" fillId="2" borderId="21" xfId="0" applyFill="1" applyBorder="1" applyAlignment="1">
      <alignment horizontal="center"/>
    </xf>
    <xf numFmtId="0" fontId="0" fillId="2" borderId="26" xfId="0" applyFill="1" applyBorder="1" applyAlignment="1">
      <alignment horizontal="center"/>
    </xf>
    <xf numFmtId="0" fontId="0" fillId="2" borderId="0" xfId="0" applyFill="1" applyAlignment="1" applyProtection="1">
      <alignment horizontal="center"/>
    </xf>
    <xf numFmtId="0" fontId="8" fillId="2" borderId="0" xfId="0" applyFont="1" applyFill="1" applyAlignment="1" applyProtection="1">
      <alignment horizontal="left" wrapText="1"/>
    </xf>
    <xf numFmtId="0" fontId="0" fillId="2" borderId="2" xfId="0" applyFill="1" applyBorder="1" applyAlignment="1" applyProtection="1">
      <alignment horizontal="left" vertical="center"/>
    </xf>
    <xf numFmtId="0" fontId="8" fillId="2" borderId="30" xfId="0" applyFont="1" applyFill="1" applyBorder="1" applyAlignment="1" applyProtection="1">
      <alignment horizontal="center"/>
    </xf>
    <xf numFmtId="0" fontId="8" fillId="2" borderId="41" xfId="0" applyFont="1" applyFill="1" applyBorder="1" applyAlignment="1" applyProtection="1">
      <alignment horizontal="center"/>
    </xf>
    <xf numFmtId="0" fontId="8" fillId="2" borderId="15" xfId="0" applyFont="1" applyFill="1" applyBorder="1" applyAlignment="1" applyProtection="1">
      <alignment horizontal="center"/>
    </xf>
    <xf numFmtId="0" fontId="0" fillId="2" borderId="0" xfId="0" applyFill="1" applyAlignment="1" applyProtection="1">
      <alignment horizontal="left" wrapText="1"/>
    </xf>
    <xf numFmtId="0" fontId="0" fillId="2" borderId="0" xfId="0" applyFill="1" applyAlignment="1" applyProtection="1">
      <alignment horizontal="left"/>
    </xf>
    <xf numFmtId="0" fontId="70" fillId="2" borderId="0" xfId="0" applyFont="1" applyFill="1" applyAlignment="1" applyProtection="1">
      <alignment horizontal="left" wrapText="1"/>
    </xf>
    <xf numFmtId="0" fontId="70" fillId="2" borderId="0" xfId="0" applyFont="1" applyFill="1" applyAlignment="1" applyProtection="1">
      <alignment horizontal="left"/>
    </xf>
    <xf numFmtId="0" fontId="0" fillId="2" borderId="15" xfId="0" applyFill="1" applyBorder="1" applyAlignment="1" applyProtection="1">
      <alignment horizontal="left" vertical="center" wrapText="1"/>
    </xf>
    <xf numFmtId="0" fontId="0" fillId="2" borderId="2" xfId="0" applyFill="1" applyBorder="1" applyAlignment="1" applyProtection="1">
      <alignment horizontal="center"/>
    </xf>
    <xf numFmtId="0" fontId="1" fillId="2" borderId="0" xfId="0" applyFont="1" applyFill="1" applyAlignment="1" applyProtection="1">
      <alignment horizontal="center"/>
    </xf>
    <xf numFmtId="0" fontId="0" fillId="2" borderId="19" xfId="0" applyFill="1" applyBorder="1" applyAlignment="1" applyProtection="1">
      <alignment horizontal="center" vertical="center"/>
    </xf>
    <xf numFmtId="0" fontId="0" fillId="2" borderId="13" xfId="0" applyFill="1" applyBorder="1" applyAlignment="1" applyProtection="1">
      <alignment horizontal="center" vertical="center"/>
    </xf>
    <xf numFmtId="0" fontId="0" fillId="2" borderId="19" xfId="0" applyFill="1" applyBorder="1" applyAlignment="1" applyProtection="1">
      <alignment horizontal="left" vertical="center"/>
    </xf>
    <xf numFmtId="0" fontId="0" fillId="2" borderId="13" xfId="0" applyFill="1" applyBorder="1" applyAlignment="1" applyProtection="1">
      <alignment horizontal="left" vertical="center"/>
    </xf>
    <xf numFmtId="0" fontId="0" fillId="2" borderId="21" xfId="0" applyFill="1" applyBorder="1" applyAlignment="1" applyProtection="1">
      <alignment horizontal="left"/>
    </xf>
    <xf numFmtId="0" fontId="0" fillId="2" borderId="26" xfId="0" applyFill="1" applyBorder="1" applyAlignment="1" applyProtection="1">
      <alignment horizontal="left"/>
    </xf>
    <xf numFmtId="0" fontId="49" fillId="2" borderId="45" xfId="0" applyFont="1" applyFill="1" applyBorder="1" applyAlignment="1" applyProtection="1">
      <alignment horizontal="center" vertical="top" wrapText="1"/>
    </xf>
    <xf numFmtId="0" fontId="49" fillId="2" borderId="76" xfId="0" applyFont="1" applyFill="1" applyBorder="1" applyAlignment="1" applyProtection="1">
      <alignment horizontal="center" vertical="top" wrapText="1"/>
    </xf>
    <xf numFmtId="0" fontId="49" fillId="2" borderId="77" xfId="0" applyFont="1" applyFill="1" applyBorder="1" applyAlignment="1" applyProtection="1">
      <alignment horizontal="center" vertical="top" wrapText="1"/>
    </xf>
    <xf numFmtId="0" fontId="49" fillId="2" borderId="54" xfId="0" applyFont="1" applyFill="1" applyBorder="1" applyAlignment="1" applyProtection="1">
      <alignment horizontal="center" vertical="top" wrapText="1"/>
    </xf>
    <xf numFmtId="0" fontId="49" fillId="2" borderId="73" xfId="0" applyFont="1" applyFill="1" applyBorder="1" applyAlignment="1" applyProtection="1">
      <alignment horizontal="center" vertical="top" wrapText="1"/>
    </xf>
    <xf numFmtId="0" fontId="49" fillId="2" borderId="12" xfId="0" applyFont="1" applyFill="1" applyBorder="1" applyAlignment="1" applyProtection="1">
      <alignment horizontal="center" vertical="top" wrapText="1"/>
    </xf>
    <xf numFmtId="0" fontId="8" fillId="2" borderId="0" xfId="0" applyFont="1" applyFill="1" applyAlignment="1" applyProtection="1">
      <alignment horizontal="center"/>
    </xf>
    <xf numFmtId="0" fontId="8" fillId="5" borderId="2" xfId="0" applyFont="1" applyFill="1" applyBorder="1" applyAlignment="1" applyProtection="1">
      <alignment horizontal="center"/>
    </xf>
    <xf numFmtId="0" fontId="45" fillId="5" borderId="2" xfId="0" applyFont="1" applyFill="1" applyBorder="1" applyAlignment="1" applyProtection="1">
      <alignment horizontal="center" vertical="top" wrapText="1"/>
    </xf>
    <xf numFmtId="0" fontId="0" fillId="8" borderId="2" xfId="0" applyFill="1" applyBorder="1" applyAlignment="1" applyProtection="1">
      <alignment horizontal="center"/>
    </xf>
    <xf numFmtId="0" fontId="0" fillId="8" borderId="13" xfId="0" applyFill="1" applyBorder="1" applyAlignment="1" applyProtection="1">
      <alignment horizontal="center"/>
    </xf>
    <xf numFmtId="0" fontId="91" fillId="11" borderId="30" xfId="0" applyFont="1" applyFill="1" applyBorder="1" applyAlignment="1" applyProtection="1">
      <alignment horizontal="center" wrapText="1"/>
    </xf>
    <xf numFmtId="0" fontId="91" fillId="11" borderId="15" xfId="0" applyFont="1" applyFill="1" applyBorder="1" applyAlignment="1" applyProtection="1">
      <alignment horizontal="center" wrapText="1"/>
    </xf>
    <xf numFmtId="0" fontId="0" fillId="2" borderId="41" xfId="0" applyFill="1" applyBorder="1" applyAlignment="1" applyProtection="1">
      <alignment horizontal="left" vertical="center"/>
    </xf>
    <xf numFmtId="0" fontId="0" fillId="2" borderId="15" xfId="0" applyFill="1" applyBorder="1" applyAlignment="1" applyProtection="1">
      <alignment horizontal="left" vertical="center"/>
    </xf>
    <xf numFmtId="0" fontId="0" fillId="3" borderId="2" xfId="0" applyFill="1" applyBorder="1" applyAlignment="1" applyProtection="1">
      <alignment horizontal="center"/>
    </xf>
    <xf numFmtId="0" fontId="0" fillId="2" borderId="2" xfId="0" applyFill="1" applyBorder="1" applyAlignment="1" applyProtection="1">
      <alignment horizontal="center" wrapText="1"/>
    </xf>
    <xf numFmtId="0" fontId="0" fillId="2" borderId="54" xfId="0" applyFill="1" applyBorder="1" applyAlignment="1" applyProtection="1">
      <alignment horizontal="center"/>
    </xf>
    <xf numFmtId="0" fontId="26" fillId="5" borderId="2" xfId="0" applyFont="1" applyFill="1" applyBorder="1" applyAlignment="1" applyProtection="1">
      <alignment horizontal="center" vertical="top" wrapText="1"/>
    </xf>
    <xf numFmtId="0" fontId="8" fillId="2" borderId="2" xfId="0" applyFont="1" applyFill="1" applyBorder="1" applyAlignment="1" applyProtection="1">
      <alignment horizontal="center"/>
    </xf>
    <xf numFmtId="0" fontId="0" fillId="5" borderId="2" xfId="0" applyFill="1" applyBorder="1" applyAlignment="1" applyProtection="1">
      <alignment horizontal="center" vertical="center"/>
    </xf>
    <xf numFmtId="0" fontId="0" fillId="14" borderId="30" xfId="0" applyFill="1" applyBorder="1" applyAlignment="1" applyProtection="1">
      <alignment horizontal="center" vertical="center" wrapText="1"/>
    </xf>
    <xf numFmtId="0" fontId="0" fillId="14" borderId="15" xfId="0" applyFill="1" applyBorder="1" applyAlignment="1" applyProtection="1">
      <alignment horizontal="center" vertical="center" wrapText="1"/>
    </xf>
    <xf numFmtId="0" fontId="45" fillId="0" borderId="30" xfId="0" applyFont="1" applyFill="1" applyBorder="1" applyAlignment="1">
      <alignment horizontal="left"/>
    </xf>
    <xf numFmtId="0" fontId="45" fillId="0" borderId="15" xfId="0" applyFont="1" applyFill="1" applyBorder="1" applyAlignment="1">
      <alignment horizontal="left"/>
    </xf>
    <xf numFmtId="0" fontId="45" fillId="0" borderId="0" xfId="0" applyFont="1" applyFill="1" applyBorder="1" applyAlignment="1" applyProtection="1">
      <alignment horizontal="center" vertical="center" wrapText="1"/>
    </xf>
    <xf numFmtId="0" fontId="45" fillId="0" borderId="9" xfId="0" applyNumberFormat="1" applyFont="1" applyFill="1" applyBorder="1" applyAlignment="1" applyProtection="1">
      <alignment horizontal="left" vertical="top"/>
    </xf>
    <xf numFmtId="0" fontId="45" fillId="0" borderId="27" xfId="0" applyNumberFormat="1" applyFont="1" applyFill="1" applyBorder="1" applyAlignment="1" applyProtection="1">
      <alignment horizontal="left" vertical="top"/>
    </xf>
    <xf numFmtId="0" fontId="45" fillId="0" borderId="30" xfId="0" applyFont="1" applyFill="1" applyBorder="1" applyAlignment="1" applyProtection="1">
      <alignment vertical="top" wrapText="1"/>
    </xf>
    <xf numFmtId="0" fontId="45" fillId="0" borderId="41" xfId="0" applyFont="1" applyFill="1" applyBorder="1" applyAlignment="1" applyProtection="1">
      <alignment vertical="top" wrapText="1"/>
    </xf>
    <xf numFmtId="0" fontId="45" fillId="0" borderId="15" xfId="0" applyFont="1" applyFill="1" applyBorder="1" applyAlignment="1" applyProtection="1">
      <alignment vertical="top" wrapText="1"/>
    </xf>
    <xf numFmtId="0" fontId="45" fillId="0" borderId="2" xfId="0" applyFont="1" applyFill="1" applyBorder="1" applyAlignment="1" applyProtection="1">
      <alignment vertical="top" wrapText="1"/>
    </xf>
    <xf numFmtId="0" fontId="8" fillId="0" borderId="0" xfId="0" applyFont="1" applyFill="1" applyBorder="1" applyAlignment="1">
      <alignment horizontal="center" vertical="center"/>
    </xf>
    <xf numFmtId="0" fontId="8" fillId="0" borderId="48" xfId="0" applyFont="1" applyFill="1" applyBorder="1" applyAlignment="1" applyProtection="1">
      <alignment horizontal="left"/>
    </xf>
    <xf numFmtId="0" fontId="8" fillId="0" borderId="29" xfId="0" applyFont="1" applyFill="1" applyBorder="1" applyAlignment="1" applyProtection="1">
      <alignment horizontal="left"/>
    </xf>
    <xf numFmtId="0" fontId="45" fillId="0" borderId="13" xfId="0" applyNumberFormat="1" applyFont="1" applyFill="1" applyBorder="1" applyAlignment="1" applyProtection="1">
      <alignment horizontal="left" vertical="top"/>
    </xf>
    <xf numFmtId="0" fontId="45" fillId="0" borderId="14" xfId="0" applyNumberFormat="1" applyFont="1" applyFill="1" applyBorder="1" applyAlignment="1" applyProtection="1">
      <alignment horizontal="left" vertical="top"/>
    </xf>
    <xf numFmtId="0" fontId="45" fillId="0" borderId="0" xfId="0" applyFont="1" applyFill="1" applyBorder="1" applyAlignment="1" applyProtection="1">
      <alignment horizontal="right"/>
    </xf>
    <xf numFmtId="0" fontId="45" fillId="0" borderId="0" xfId="0" applyFont="1" applyFill="1" applyBorder="1" applyAlignment="1" applyProtection="1">
      <alignment horizontal="right" vertical="center"/>
    </xf>
    <xf numFmtId="0" fontId="45" fillId="0" borderId="69" xfId="0" applyFont="1" applyFill="1" applyBorder="1" applyAlignment="1" applyProtection="1">
      <alignment horizontal="left"/>
    </xf>
    <xf numFmtId="0" fontId="45" fillId="0" borderId="26" xfId="0" applyFont="1" applyFill="1" applyBorder="1" applyAlignment="1" applyProtection="1">
      <alignment horizontal="left"/>
    </xf>
    <xf numFmtId="49" fontId="48" fillId="0" borderId="0" xfId="0" applyNumberFormat="1" applyFont="1" applyFill="1" applyBorder="1" applyAlignment="1" applyProtection="1">
      <alignment horizontal="center" vertical="center"/>
    </xf>
    <xf numFmtId="0" fontId="48" fillId="0" borderId="0" xfId="0" applyFont="1" applyFill="1" applyBorder="1" applyAlignment="1" applyProtection="1">
      <alignment horizontal="center" vertical="center"/>
    </xf>
    <xf numFmtId="0" fontId="45" fillId="0" borderId="30" xfId="0" applyFont="1" applyFill="1" applyBorder="1" applyAlignment="1" applyProtection="1">
      <alignment horizontal="left" vertical="top" wrapText="1"/>
    </xf>
    <xf numFmtId="0" fontId="45" fillId="0" borderId="41" xfId="0" applyFont="1" applyFill="1" applyBorder="1" applyAlignment="1" applyProtection="1">
      <alignment horizontal="left" vertical="top" wrapText="1"/>
    </xf>
    <xf numFmtId="0" fontId="45" fillId="0" borderId="15" xfId="0" applyFont="1" applyFill="1" applyBorder="1" applyAlignment="1" applyProtection="1">
      <alignment horizontal="left" vertical="top" wrapText="1"/>
    </xf>
    <xf numFmtId="0" fontId="71" fillId="7" borderId="30" xfId="0" applyFont="1" applyFill="1" applyBorder="1" applyAlignment="1" applyProtection="1">
      <alignment horizontal="center" vertical="top" wrapText="1"/>
    </xf>
    <xf numFmtId="0" fontId="71" fillId="7" borderId="41" xfId="0" applyFont="1" applyFill="1" applyBorder="1" applyAlignment="1" applyProtection="1">
      <alignment horizontal="center" vertical="top" wrapText="1"/>
    </xf>
    <xf numFmtId="0" fontId="45" fillId="0" borderId="2" xfId="0" applyFont="1" applyFill="1" applyBorder="1" applyAlignment="1" applyProtection="1">
      <alignment horizontal="left"/>
    </xf>
    <xf numFmtId="0" fontId="45" fillId="7" borderId="2" xfId="0" applyFont="1" applyFill="1" applyBorder="1" applyAlignment="1" applyProtection="1">
      <alignment horizontal="left" vertical="center"/>
    </xf>
    <xf numFmtId="0" fontId="45" fillId="0" borderId="2" xfId="0" applyFont="1" applyFill="1" applyBorder="1" applyAlignment="1">
      <alignment horizontal="left" vertical="center" wrapText="1"/>
    </xf>
    <xf numFmtId="0" fontId="45" fillId="0" borderId="16" xfId="0" applyFont="1" applyFill="1" applyBorder="1" applyAlignment="1">
      <alignment horizontal="left" vertical="center" wrapText="1"/>
    </xf>
    <xf numFmtId="0" fontId="45" fillId="0" borderId="2" xfId="0" applyFont="1" applyFill="1" applyBorder="1" applyAlignment="1">
      <alignment horizontal="left" vertical="top" wrapText="1"/>
    </xf>
    <xf numFmtId="0" fontId="45" fillId="7" borderId="2" xfId="0" applyFont="1" applyFill="1" applyBorder="1" applyAlignment="1">
      <alignment horizontal="left" vertical="top" wrapText="1"/>
    </xf>
    <xf numFmtId="0" fontId="45" fillId="0" borderId="8" xfId="0" applyFont="1" applyFill="1" applyBorder="1" applyAlignment="1">
      <alignment horizontal="left" vertical="top" wrapText="1"/>
    </xf>
    <xf numFmtId="0" fontId="45" fillId="0" borderId="2" xfId="0" applyFont="1" applyFill="1" applyBorder="1" applyAlignment="1">
      <alignment horizontal="left" wrapText="1"/>
    </xf>
    <xf numFmtId="0" fontId="45" fillId="0" borderId="30" xfId="0" applyFont="1" applyFill="1" applyBorder="1" applyAlignment="1">
      <alignment horizontal="left" vertical="top" wrapText="1"/>
    </xf>
    <xf numFmtId="0" fontId="45" fillId="0" borderId="75" xfId="0" applyFont="1" applyFill="1" applyBorder="1" applyAlignment="1">
      <alignment horizontal="left" vertical="top" wrapText="1"/>
    </xf>
    <xf numFmtId="0" fontId="45" fillId="0" borderId="61" xfId="0" applyFont="1" applyFill="1" applyBorder="1" applyAlignment="1">
      <alignment horizontal="left" vertical="top" wrapText="1"/>
    </xf>
    <xf numFmtId="0" fontId="45" fillId="0" borderId="66" xfId="0" applyFont="1" applyFill="1" applyBorder="1" applyAlignment="1">
      <alignment horizontal="left" vertical="top" wrapText="1"/>
    </xf>
    <xf numFmtId="0" fontId="48" fillId="0" borderId="0" xfId="0" applyFont="1" applyFill="1" applyBorder="1" applyAlignment="1">
      <alignment horizontal="center" vertical="center" wrapText="1"/>
    </xf>
    <xf numFmtId="0" fontId="45" fillId="0" borderId="37"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47" xfId="0" applyFont="1" applyFill="1" applyBorder="1" applyAlignment="1">
      <alignment horizontal="left" vertical="center" wrapText="1"/>
    </xf>
    <xf numFmtId="0" fontId="45" fillId="0" borderId="19" xfId="0" applyFont="1" applyFill="1" applyBorder="1" applyAlignment="1">
      <alignment horizontal="left" vertical="top" wrapText="1"/>
    </xf>
    <xf numFmtId="0" fontId="45" fillId="0" borderId="9" xfId="0" applyFont="1" applyFill="1" applyBorder="1" applyAlignment="1">
      <alignment horizontal="left" vertical="top"/>
    </xf>
    <xf numFmtId="0" fontId="8" fillId="0" borderId="0" xfId="0" applyFont="1" applyFill="1" applyBorder="1" applyAlignment="1">
      <alignment horizontal="left" vertical="center" wrapText="1"/>
    </xf>
    <xf numFmtId="0" fontId="45" fillId="0" borderId="2" xfId="0" applyFont="1" applyFill="1" applyBorder="1" applyAlignment="1">
      <alignment horizontal="left" vertical="center"/>
    </xf>
    <xf numFmtId="0" fontId="45" fillId="0" borderId="30" xfId="0" applyFont="1" applyFill="1" applyBorder="1" applyAlignment="1">
      <alignment horizontal="left" vertical="top"/>
    </xf>
    <xf numFmtId="0" fontId="45" fillId="0" borderId="15" xfId="0" applyFont="1" applyFill="1" applyBorder="1" applyAlignment="1">
      <alignment horizontal="left" vertical="top"/>
    </xf>
    <xf numFmtId="0" fontId="45" fillId="0" borderId="22" xfId="0" applyFont="1" applyFill="1" applyBorder="1" applyAlignment="1">
      <alignment horizontal="left" vertical="center"/>
    </xf>
    <xf numFmtId="0" fontId="45" fillId="0" borderId="8" xfId="0" applyFont="1" applyFill="1" applyBorder="1" applyAlignment="1">
      <alignment horizontal="left" vertical="top"/>
    </xf>
    <xf numFmtId="0" fontId="45" fillId="0" borderId="2" xfId="0" applyFont="1" applyFill="1" applyBorder="1" applyAlignment="1">
      <alignment horizontal="left" vertical="top"/>
    </xf>
    <xf numFmtId="0" fontId="45" fillId="0" borderId="10"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28" xfId="0" applyFont="1" applyFill="1" applyBorder="1" applyAlignment="1">
      <alignment horizontal="center" vertical="center"/>
    </xf>
    <xf numFmtId="0" fontId="45" fillId="0" borderId="41" xfId="0" applyFont="1" applyFill="1" applyBorder="1" applyAlignment="1">
      <alignment horizontal="left" vertical="top" wrapText="1"/>
    </xf>
    <xf numFmtId="0" fontId="26" fillId="0" borderId="30" xfId="0" applyFont="1" applyFill="1" applyBorder="1" applyAlignment="1" applyProtection="1">
      <alignment horizontal="left" vertical="center" wrapText="1"/>
    </xf>
    <xf numFmtId="0" fontId="26" fillId="0" borderId="15" xfId="0" applyFont="1" applyFill="1" applyBorder="1" applyAlignment="1" applyProtection="1">
      <alignment horizontal="left" vertical="center" wrapText="1"/>
    </xf>
    <xf numFmtId="0" fontId="45" fillId="0" borderId="51" xfId="0" applyFont="1" applyFill="1" applyBorder="1" applyAlignment="1">
      <alignment horizontal="left" vertical="top" wrapText="1"/>
    </xf>
    <xf numFmtId="0" fontId="45" fillId="0" borderId="15" xfId="0" applyFont="1" applyFill="1" applyBorder="1" applyAlignment="1">
      <alignment horizontal="left" vertical="top" wrapText="1"/>
    </xf>
    <xf numFmtId="0" fontId="45" fillId="7" borderId="30" xfId="0" applyFont="1" applyFill="1" applyBorder="1" applyAlignment="1">
      <alignment horizontal="left" vertical="top" wrapText="1"/>
    </xf>
    <xf numFmtId="0" fontId="45" fillId="7" borderId="75" xfId="0" applyFont="1" applyFill="1" applyBorder="1" applyAlignment="1">
      <alignment horizontal="left" vertical="top" wrapText="1"/>
    </xf>
    <xf numFmtId="0" fontId="45" fillId="7" borderId="51" xfId="0" applyFont="1" applyFill="1" applyBorder="1" applyAlignment="1">
      <alignment horizontal="left" vertical="center" wrapText="1"/>
    </xf>
    <xf numFmtId="0" fontId="45" fillId="7" borderId="41" xfId="0" applyFont="1" applyFill="1" applyBorder="1" applyAlignment="1">
      <alignment horizontal="left" vertical="center" wrapText="1"/>
    </xf>
    <xf numFmtId="0" fontId="45" fillId="7" borderId="75" xfId="0" applyFont="1" applyFill="1" applyBorder="1" applyAlignment="1">
      <alignment horizontal="left" vertical="center" wrapText="1"/>
    </xf>
    <xf numFmtId="0" fontId="45" fillId="7" borderId="61" xfId="0" applyFont="1" applyFill="1" applyBorder="1" applyAlignment="1">
      <alignment horizontal="left" vertical="top" wrapText="1"/>
    </xf>
    <xf numFmtId="0" fontId="45" fillId="7" borderId="66" xfId="0" applyFont="1" applyFill="1" applyBorder="1" applyAlignment="1">
      <alignment horizontal="left" vertical="top" wrapText="1"/>
    </xf>
    <xf numFmtId="0" fontId="45" fillId="7" borderId="22" xfId="0" applyFont="1" applyFill="1" applyBorder="1" applyAlignment="1">
      <alignment horizontal="left" vertical="center" wrapText="1"/>
    </xf>
    <xf numFmtId="0" fontId="45" fillId="7" borderId="2" xfId="0" applyFont="1" applyFill="1" applyBorder="1" applyAlignment="1">
      <alignment horizontal="left" vertical="center" wrapText="1"/>
    </xf>
    <xf numFmtId="0" fontId="45" fillId="7" borderId="30" xfId="0" applyFont="1" applyFill="1" applyBorder="1" applyAlignment="1">
      <alignment horizontal="left" vertical="center" wrapText="1"/>
    </xf>
    <xf numFmtId="0" fontId="45" fillId="7" borderId="16" xfId="0" applyFont="1" applyFill="1" applyBorder="1" applyAlignment="1">
      <alignment horizontal="left" vertical="center" wrapText="1"/>
    </xf>
    <xf numFmtId="0" fontId="45" fillId="7" borderId="2" xfId="0" applyFont="1" applyFill="1" applyBorder="1" applyAlignment="1">
      <alignment vertical="center" wrapText="1"/>
    </xf>
    <xf numFmtId="0" fontId="45" fillId="7" borderId="16" xfId="0" applyFont="1" applyFill="1" applyBorder="1" applyAlignment="1">
      <alignment vertical="center" wrapText="1"/>
    </xf>
    <xf numFmtId="0" fontId="26" fillId="0" borderId="22" xfId="0" applyFont="1" applyBorder="1" applyAlignment="1" applyProtection="1">
      <alignment horizontal="left" vertical="center" wrapText="1"/>
    </xf>
    <xf numFmtId="0" fontId="26" fillId="0" borderId="2" xfId="0" applyFont="1" applyBorder="1" applyAlignment="1" applyProtection="1">
      <alignment horizontal="left" vertical="center" wrapText="1"/>
    </xf>
    <xf numFmtId="0" fontId="26" fillId="0" borderId="22" xfId="0" applyFont="1" applyFill="1" applyBorder="1" applyAlignment="1" applyProtection="1">
      <alignment horizontal="left" vertical="center" wrapText="1"/>
    </xf>
    <xf numFmtId="0" fontId="26" fillId="0" borderId="2" xfId="0" applyFont="1" applyFill="1" applyBorder="1" applyAlignment="1" applyProtection="1">
      <alignment horizontal="left" vertical="center" wrapText="1"/>
    </xf>
    <xf numFmtId="1" fontId="45" fillId="7" borderId="30" xfId="0" applyNumberFormat="1" applyFont="1" applyFill="1" applyBorder="1" applyAlignment="1">
      <alignment horizontal="left" vertical="center" wrapText="1"/>
    </xf>
    <xf numFmtId="0" fontId="48" fillId="0" borderId="0" xfId="0" applyFont="1" applyFill="1" applyBorder="1" applyAlignment="1">
      <alignment horizontal="center" wrapText="1"/>
    </xf>
    <xf numFmtId="0" fontId="45" fillId="2" borderId="37" xfId="0" applyFont="1" applyFill="1" applyBorder="1" applyAlignment="1">
      <alignment horizontal="left" vertical="center" wrapText="1"/>
    </xf>
    <xf numFmtId="0" fontId="45" fillId="2" borderId="8" xfId="0" applyFont="1" applyFill="1" applyBorder="1" applyAlignment="1">
      <alignment horizontal="left" vertical="center" wrapText="1"/>
    </xf>
    <xf numFmtId="0" fontId="45" fillId="2" borderId="61" xfId="0" applyFont="1" applyFill="1" applyBorder="1" applyAlignment="1">
      <alignment horizontal="left" vertical="center" wrapText="1"/>
    </xf>
    <xf numFmtId="0" fontId="45" fillId="2" borderId="38" xfId="0" applyFont="1" applyFill="1" applyBorder="1" applyAlignment="1">
      <alignment horizontal="left" vertical="center" wrapText="1"/>
    </xf>
    <xf numFmtId="0" fontId="45" fillId="0" borderId="10" xfId="0" applyFont="1" applyFill="1" applyBorder="1" applyAlignment="1">
      <alignment horizontal="left" vertical="top" wrapText="1"/>
    </xf>
    <xf numFmtId="0" fontId="45" fillId="0" borderId="11" xfId="0" applyFont="1" applyFill="1" applyBorder="1" applyAlignment="1">
      <alignment horizontal="left" vertical="top" wrapText="1"/>
    </xf>
    <xf numFmtId="0" fontId="45" fillId="0" borderId="69" xfId="0" applyFont="1" applyFill="1" applyBorder="1" applyAlignment="1">
      <alignment horizontal="left" vertical="top" wrapText="1"/>
    </xf>
    <xf numFmtId="0" fontId="26" fillId="0" borderId="37" xfId="0" applyFont="1" applyFill="1" applyBorder="1" applyAlignment="1" applyProtection="1">
      <alignment horizontal="left" vertical="center" wrapText="1"/>
    </xf>
    <xf numFmtId="0" fontId="26" fillId="0" borderId="8" xfId="0" applyFont="1" applyFill="1" applyBorder="1" applyAlignment="1" applyProtection="1">
      <alignment horizontal="left" vertical="center" wrapText="1"/>
    </xf>
    <xf numFmtId="0" fontId="45" fillId="0" borderId="52" xfId="0" applyFont="1" applyFill="1" applyBorder="1" applyAlignment="1">
      <alignment horizontal="left" wrapText="1"/>
    </xf>
    <xf numFmtId="0" fontId="45" fillId="0" borderId="59" xfId="0" applyFont="1" applyFill="1" applyBorder="1" applyAlignment="1">
      <alignment horizontal="left" wrapText="1"/>
    </xf>
    <xf numFmtId="0" fontId="45" fillId="0" borderId="67" xfId="0" applyFont="1" applyFill="1" applyBorder="1" applyAlignment="1">
      <alignment horizontal="left" wrapText="1"/>
    </xf>
    <xf numFmtId="0" fontId="45" fillId="7" borderId="45" xfId="0" applyFont="1" applyFill="1" applyBorder="1" applyAlignment="1">
      <alignment horizontal="left" vertical="top" wrapText="1"/>
    </xf>
    <xf numFmtId="0" fontId="45" fillId="7" borderId="80" xfId="0" applyFont="1" applyFill="1" applyBorder="1" applyAlignment="1">
      <alignment horizontal="left" vertical="top" wrapText="1"/>
    </xf>
    <xf numFmtId="0" fontId="45" fillId="7" borderId="73" xfId="0" applyFont="1" applyFill="1" applyBorder="1" applyAlignment="1">
      <alignment horizontal="left" vertical="top" wrapText="1"/>
    </xf>
    <xf numFmtId="0" fontId="45" fillId="7" borderId="82" xfId="0" applyFont="1" applyFill="1" applyBorder="1" applyAlignment="1">
      <alignment horizontal="left" vertical="top" wrapText="1"/>
    </xf>
    <xf numFmtId="0" fontId="26" fillId="0" borderId="36"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45" fillId="7" borderId="9" xfId="0" applyFont="1" applyFill="1" applyBorder="1" applyAlignment="1">
      <alignment vertical="center" wrapText="1"/>
    </xf>
    <xf numFmtId="0" fontId="45" fillId="7" borderId="27" xfId="0" applyFont="1" applyFill="1" applyBorder="1" applyAlignment="1">
      <alignment vertical="center" wrapText="1"/>
    </xf>
    <xf numFmtId="0" fontId="45" fillId="0" borderId="22" xfId="0" applyFont="1" applyFill="1" applyBorder="1" applyAlignment="1">
      <alignment horizontal="center" vertical="center" wrapText="1"/>
    </xf>
    <xf numFmtId="0" fontId="45" fillId="0" borderId="36" xfId="0" applyFont="1" applyFill="1" applyBorder="1" applyAlignment="1">
      <alignment horizontal="center" vertical="center" wrapText="1"/>
    </xf>
    <xf numFmtId="0" fontId="45" fillId="0" borderId="9"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7" borderId="36" xfId="0" applyFont="1" applyFill="1" applyBorder="1" applyAlignment="1">
      <alignment horizontal="left" vertical="center" wrapText="1"/>
    </xf>
    <xf numFmtId="0" fontId="45" fillId="7" borderId="9" xfId="0" applyFont="1" applyFill="1" applyBorder="1" applyAlignment="1">
      <alignment horizontal="left" vertical="center" wrapText="1"/>
    </xf>
    <xf numFmtId="0" fontId="45" fillId="7" borderId="33" xfId="0" applyFont="1" applyFill="1" applyBorder="1" applyAlignment="1">
      <alignment horizontal="left" vertical="center" wrapText="1"/>
    </xf>
    <xf numFmtId="0" fontId="45" fillId="7" borderId="27" xfId="0" applyFont="1" applyFill="1" applyBorder="1" applyAlignment="1">
      <alignment horizontal="left" vertical="center" wrapText="1"/>
    </xf>
    <xf numFmtId="0" fontId="45" fillId="0" borderId="37" xfId="0" applyFont="1" applyFill="1" applyBorder="1" applyAlignment="1">
      <alignment horizontal="center" vertical="center" wrapText="1"/>
    </xf>
    <xf numFmtId="0" fontId="45" fillId="0" borderId="8"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45" fillId="0" borderId="36" xfId="0" applyFont="1" applyFill="1" applyBorder="1" applyAlignment="1">
      <alignment horizontal="center" wrapText="1"/>
    </xf>
    <xf numFmtId="0" fontId="45" fillId="0" borderId="9" xfId="0" applyFont="1" applyFill="1" applyBorder="1" applyAlignment="1">
      <alignment horizontal="center" wrapText="1"/>
    </xf>
    <xf numFmtId="0" fontId="45" fillId="0" borderId="33" xfId="0" applyFont="1" applyFill="1" applyBorder="1" applyAlignment="1">
      <alignment horizontal="center" wrapText="1"/>
    </xf>
    <xf numFmtId="0" fontId="45" fillId="0" borderId="27" xfId="0" applyFont="1" applyFill="1" applyBorder="1" applyAlignment="1">
      <alignment horizontal="center" wrapText="1"/>
    </xf>
    <xf numFmtId="0" fontId="45" fillId="7" borderId="37" xfId="0" applyFont="1" applyFill="1" applyBorder="1" applyAlignment="1">
      <alignment horizontal="left" vertical="top" wrapText="1"/>
    </xf>
    <xf numFmtId="0" fontId="45" fillId="7" borderId="8" xfId="0" applyFont="1" applyFill="1" applyBorder="1" applyAlignment="1">
      <alignment horizontal="left" vertical="top" wrapText="1"/>
    </xf>
    <xf numFmtId="0" fontId="45" fillId="7" borderId="36" xfId="0" applyFont="1" applyFill="1" applyBorder="1" applyAlignment="1">
      <alignment horizontal="left" vertical="top" wrapText="1"/>
    </xf>
    <xf numFmtId="0" fontId="45" fillId="7" borderId="9" xfId="0" applyFont="1" applyFill="1" applyBorder="1" applyAlignment="1">
      <alignment horizontal="left" vertical="top" wrapText="1"/>
    </xf>
    <xf numFmtId="0" fontId="45" fillId="0" borderId="8" xfId="0" applyFont="1" applyFill="1" applyBorder="1" applyAlignment="1">
      <alignment horizontal="left" vertical="center" wrapText="1"/>
    </xf>
    <xf numFmtId="0" fontId="45" fillId="0" borderId="38" xfId="0" applyFont="1" applyFill="1" applyBorder="1" applyAlignment="1">
      <alignment horizontal="left" vertical="center" wrapText="1"/>
    </xf>
    <xf numFmtId="0" fontId="45" fillId="0" borderId="0" xfId="0" applyFont="1" applyFill="1" applyBorder="1" applyAlignment="1">
      <alignment horizontal="right" wrapText="1"/>
    </xf>
    <xf numFmtId="0" fontId="45" fillId="0" borderId="0" xfId="0" applyFont="1" applyFill="1" applyBorder="1" applyAlignment="1">
      <alignment horizontal="right" vertical="center" wrapText="1"/>
    </xf>
    <xf numFmtId="0" fontId="45" fillId="7" borderId="10" xfId="0" applyFont="1" applyFill="1" applyBorder="1" applyAlignment="1">
      <alignment horizontal="left" vertical="top" wrapText="1"/>
    </xf>
    <xf numFmtId="0" fontId="45" fillId="7" borderId="11" xfId="0" applyFont="1" applyFill="1" applyBorder="1" applyAlignment="1">
      <alignment horizontal="left" vertical="top" wrapText="1"/>
    </xf>
    <xf numFmtId="0" fontId="45" fillId="7" borderId="69" xfId="0" applyFont="1" applyFill="1" applyBorder="1" applyAlignment="1">
      <alignment horizontal="left" vertical="top" wrapText="1"/>
    </xf>
    <xf numFmtId="0" fontId="45" fillId="0" borderId="62" xfId="0" applyFont="1" applyFill="1" applyBorder="1" applyAlignment="1">
      <alignment horizontal="left" vertical="top" wrapText="1"/>
    </xf>
    <xf numFmtId="0" fontId="45" fillId="0" borderId="79" xfId="0" applyFont="1" applyFill="1" applyBorder="1" applyAlignment="1">
      <alignment horizontal="left" vertical="top" wrapText="1"/>
    </xf>
    <xf numFmtId="0" fontId="45" fillId="0" borderId="43" xfId="0" applyFont="1" applyFill="1" applyBorder="1" applyAlignment="1">
      <alignment horizontal="left" vertical="top" wrapText="1"/>
    </xf>
    <xf numFmtId="0" fontId="45" fillId="0" borderId="76" xfId="0" applyFont="1" applyFill="1" applyBorder="1" applyAlignment="1">
      <alignment horizontal="left" vertical="top" wrapText="1"/>
    </xf>
    <xf numFmtId="0" fontId="45" fillId="0" borderId="83" xfId="0" applyFont="1" applyFill="1" applyBorder="1" applyAlignment="1">
      <alignment horizontal="left" vertical="top" wrapText="1"/>
    </xf>
    <xf numFmtId="0" fontId="45" fillId="0" borderId="12" xfId="0" applyFont="1" applyFill="1" applyBorder="1" applyAlignment="1">
      <alignment horizontal="left" vertical="top" wrapText="1"/>
    </xf>
    <xf numFmtId="0" fontId="45" fillId="7" borderId="8" xfId="0" applyFont="1" applyFill="1" applyBorder="1" applyAlignment="1">
      <alignment horizontal="left" vertical="center" wrapText="1"/>
    </xf>
    <xf numFmtId="0" fontId="45" fillId="7" borderId="38" xfId="0" applyFont="1" applyFill="1" applyBorder="1" applyAlignment="1">
      <alignment horizontal="left" vertical="center" wrapText="1"/>
    </xf>
    <xf numFmtId="49" fontId="48" fillId="0" borderId="0" xfId="0" applyNumberFormat="1" applyFont="1" applyFill="1" applyBorder="1" applyAlignment="1">
      <alignment horizontal="center" vertical="center"/>
    </xf>
    <xf numFmtId="0" fontId="48" fillId="0" borderId="0" xfId="0" applyFont="1" applyFill="1" applyBorder="1" applyAlignment="1">
      <alignment horizontal="center" vertical="center"/>
    </xf>
    <xf numFmtId="0" fontId="45" fillId="0" borderId="30" xfId="0" applyFont="1" applyBorder="1" applyAlignment="1">
      <alignment vertical="top" wrapText="1"/>
    </xf>
    <xf numFmtId="0" fontId="45" fillId="0" borderId="41" xfId="0" applyFont="1" applyBorder="1" applyAlignment="1">
      <alignment vertical="top" wrapText="1"/>
    </xf>
    <xf numFmtId="0" fontId="45" fillId="0" borderId="15" xfId="0" applyFont="1" applyBorder="1" applyAlignment="1">
      <alignment vertical="top" wrapText="1"/>
    </xf>
    <xf numFmtId="0" fontId="45" fillId="2" borderId="2" xfId="0" applyFont="1" applyFill="1" applyBorder="1" applyAlignment="1">
      <alignment horizontal="left" vertical="center"/>
    </xf>
    <xf numFmtId="0" fontId="8" fillId="0" borderId="0" xfId="0" applyFont="1" applyFill="1" applyBorder="1" applyAlignment="1">
      <alignment horizontal="left" vertical="center"/>
    </xf>
    <xf numFmtId="0" fontId="45" fillId="0" borderId="30" xfId="0" applyFont="1" applyFill="1" applyBorder="1" applyAlignment="1">
      <alignment vertical="top" wrapText="1"/>
    </xf>
    <xf numFmtId="0" fontId="45" fillId="0" borderId="41" xfId="0" applyFont="1" applyFill="1" applyBorder="1" applyAlignment="1">
      <alignment vertical="top" wrapText="1"/>
    </xf>
    <xf numFmtId="0" fontId="45" fillId="0" borderId="15" xfId="0" applyFont="1" applyFill="1" applyBorder="1" applyAlignment="1">
      <alignment vertical="top" wrapText="1"/>
    </xf>
    <xf numFmtId="0" fontId="45" fillId="0" borderId="30" xfId="0" applyFont="1" applyFill="1" applyBorder="1" applyAlignment="1">
      <alignment horizontal="left" vertical="center"/>
    </xf>
    <xf numFmtId="0" fontId="45" fillId="0" borderId="41" xfId="0" applyFont="1" applyFill="1" applyBorder="1" applyAlignment="1">
      <alignment horizontal="left" vertical="center"/>
    </xf>
    <xf numFmtId="0" fontId="45" fillId="0" borderId="15" xfId="0" applyFont="1" applyFill="1" applyBorder="1" applyAlignment="1">
      <alignment horizontal="left" vertical="center"/>
    </xf>
    <xf numFmtId="0" fontId="45" fillId="0" borderId="77" xfId="0" applyNumberFormat="1" applyFont="1" applyFill="1" applyBorder="1" applyAlignment="1">
      <alignment horizontal="left" vertical="top"/>
    </xf>
    <xf numFmtId="0" fontId="45" fillId="0" borderId="5" xfId="0" applyNumberFormat="1" applyFont="1" applyFill="1" applyBorder="1" applyAlignment="1">
      <alignment horizontal="left" vertical="top"/>
    </xf>
    <xf numFmtId="0" fontId="45" fillId="0" borderId="2" xfId="0" applyFont="1" applyFill="1" applyBorder="1" applyAlignment="1" applyProtection="1">
      <alignment horizontal="left" vertical="center"/>
      <protection locked="0"/>
    </xf>
    <xf numFmtId="0" fontId="45" fillId="2" borderId="2" xfId="0" applyFont="1" applyFill="1" applyBorder="1" applyAlignment="1">
      <alignment horizontal="center" vertical="center" wrapText="1"/>
    </xf>
    <xf numFmtId="0" fontId="114" fillId="0" borderId="2" xfId="0" applyFont="1" applyBorder="1" applyAlignment="1">
      <alignment vertical="top" wrapText="1"/>
    </xf>
    <xf numFmtId="0" fontId="45" fillId="0" borderId="40" xfId="0" applyNumberFormat="1" applyFont="1" applyFill="1" applyBorder="1" applyAlignment="1">
      <alignment horizontal="left" vertical="top"/>
    </xf>
    <xf numFmtId="0" fontId="45" fillId="0" borderId="17" xfId="0" applyNumberFormat="1" applyFont="1" applyFill="1" applyBorder="1" applyAlignment="1">
      <alignment horizontal="left" vertical="top"/>
    </xf>
    <xf numFmtId="0" fontId="45" fillId="0" borderId="20" xfId="0" applyFont="1" applyFill="1" applyBorder="1" applyAlignment="1"/>
    <xf numFmtId="0" fontId="45" fillId="0" borderId="21" xfId="0" applyFont="1" applyFill="1" applyBorder="1" applyAlignment="1"/>
    <xf numFmtId="0" fontId="45" fillId="0" borderId="26" xfId="0" applyFont="1" applyFill="1" applyBorder="1" applyAlignment="1"/>
    <xf numFmtId="0" fontId="8" fillId="0" borderId="69" xfId="0" applyFont="1" applyFill="1" applyBorder="1" applyAlignment="1">
      <alignment horizontal="left"/>
    </xf>
    <xf numFmtId="0" fontId="8" fillId="0" borderId="26" xfId="0" applyFont="1" applyFill="1" applyBorder="1" applyAlignment="1">
      <alignment horizontal="left"/>
    </xf>
    <xf numFmtId="0" fontId="45" fillId="0" borderId="69" xfId="0" applyFont="1" applyFill="1" applyBorder="1" applyAlignment="1">
      <alignment horizontal="left"/>
    </xf>
    <xf numFmtId="0" fontId="45" fillId="0" borderId="26" xfId="0" applyFont="1" applyFill="1" applyBorder="1" applyAlignment="1">
      <alignment horizontal="left"/>
    </xf>
    <xf numFmtId="0" fontId="45" fillId="0" borderId="68" xfId="0" applyNumberFormat="1" applyFont="1" applyFill="1" applyBorder="1" applyAlignment="1">
      <alignment horizontal="left" vertical="top"/>
    </xf>
    <xf numFmtId="0" fontId="45" fillId="0" borderId="49" xfId="0" applyNumberFormat="1" applyFont="1" applyFill="1" applyBorder="1" applyAlignment="1">
      <alignment horizontal="left" vertical="top"/>
    </xf>
    <xf numFmtId="0" fontId="45" fillId="0" borderId="0" xfId="0" applyFont="1" applyFill="1" applyBorder="1" applyAlignment="1">
      <alignment horizontal="center"/>
    </xf>
    <xf numFmtId="0" fontId="45" fillId="0" borderId="0" xfId="0" applyFont="1" applyFill="1" applyBorder="1" applyAlignment="1">
      <alignment horizontal="left" wrapText="1"/>
    </xf>
    <xf numFmtId="0" fontId="80" fillId="2" borderId="2" xfId="0" applyFont="1" applyFill="1" applyBorder="1" applyAlignment="1">
      <alignment horizontal="center" vertical="center" wrapText="1"/>
    </xf>
    <xf numFmtId="0" fontId="80" fillId="2" borderId="2" xfId="0" applyFont="1" applyFill="1" applyBorder="1" applyAlignment="1">
      <alignment horizontal="center" vertical="center"/>
    </xf>
    <xf numFmtId="49" fontId="48" fillId="0" borderId="30" xfId="0" applyNumberFormat="1" applyFont="1" applyFill="1" applyBorder="1" applyAlignment="1">
      <alignment horizontal="center" vertical="center"/>
    </xf>
    <xf numFmtId="49" fontId="48" fillId="0" borderId="41" xfId="0" applyNumberFormat="1" applyFont="1" applyFill="1" applyBorder="1" applyAlignment="1">
      <alignment horizontal="center" vertical="center"/>
    </xf>
    <xf numFmtId="49" fontId="48" fillId="0" borderId="15" xfId="0" applyNumberFormat="1" applyFont="1" applyFill="1" applyBorder="1" applyAlignment="1">
      <alignment horizontal="center" vertical="center"/>
    </xf>
    <xf numFmtId="0" fontId="45" fillId="0" borderId="2" xfId="0" applyFont="1" applyFill="1" applyBorder="1" applyAlignment="1">
      <alignment horizontal="left"/>
    </xf>
    <xf numFmtId="0" fontId="9" fillId="0" borderId="2" xfId="0" applyFont="1" applyBorder="1" applyAlignment="1">
      <alignment vertical="top" wrapText="1"/>
    </xf>
    <xf numFmtId="0" fontId="45" fillId="0" borderId="2" xfId="0" applyFont="1" applyBorder="1" applyAlignment="1">
      <alignment vertical="top" wrapText="1"/>
    </xf>
    <xf numFmtId="0" fontId="45" fillId="0" borderId="30" xfId="0" applyFont="1" applyFill="1" applyBorder="1" applyAlignment="1"/>
    <xf numFmtId="0" fontId="45" fillId="0" borderId="15" xfId="0" applyFont="1" applyFill="1" applyBorder="1" applyAlignment="1"/>
    <xf numFmtId="0" fontId="45" fillId="0" borderId="0" xfId="0" applyFont="1" applyFill="1" applyBorder="1" applyAlignment="1">
      <alignment horizontal="left"/>
    </xf>
    <xf numFmtId="0" fontId="45" fillId="0" borderId="30" xfId="0" applyFont="1" applyBorder="1" applyAlignment="1">
      <alignment horizontal="left" vertical="top" wrapText="1"/>
    </xf>
    <xf numFmtId="0" fontId="45" fillId="0" borderId="41" xfId="0" applyFont="1" applyBorder="1" applyAlignment="1">
      <alignment horizontal="left" vertical="top" wrapText="1"/>
    </xf>
    <xf numFmtId="0" fontId="45" fillId="0" borderId="15" xfId="0" applyFont="1" applyBorder="1" applyAlignment="1">
      <alignment horizontal="left" vertical="top" wrapText="1"/>
    </xf>
    <xf numFmtId="0" fontId="45" fillId="2" borderId="0" xfId="0" applyFont="1" applyFill="1" applyBorder="1" applyAlignment="1">
      <alignment horizontal="center" vertical="center"/>
    </xf>
    <xf numFmtId="0" fontId="45" fillId="0" borderId="0" xfId="0" applyFont="1" applyFill="1" applyBorder="1" applyAlignment="1">
      <alignment horizontal="right"/>
    </xf>
    <xf numFmtId="0" fontId="101" fillId="2" borderId="20" xfId="0" applyFont="1" applyFill="1" applyBorder="1" applyAlignment="1">
      <alignment horizontal="left" vertical="center" wrapText="1"/>
    </xf>
    <xf numFmtId="0" fontId="101" fillId="2" borderId="21" xfId="0" applyFont="1" applyFill="1" applyBorder="1" applyAlignment="1">
      <alignment horizontal="left" vertical="center" wrapText="1"/>
    </xf>
    <xf numFmtId="0" fontId="101" fillId="2" borderId="26" xfId="0" applyFont="1" applyFill="1" applyBorder="1" applyAlignment="1">
      <alignment horizontal="left" vertical="center" wrapText="1"/>
    </xf>
    <xf numFmtId="0" fontId="45" fillId="0" borderId="20" xfId="0" applyFont="1" applyFill="1" applyBorder="1" applyAlignment="1">
      <alignment horizontal="left" vertical="top" wrapText="1"/>
    </xf>
    <xf numFmtId="0" fontId="45" fillId="0" borderId="21" xfId="0" applyFont="1" applyFill="1" applyBorder="1" applyAlignment="1">
      <alignment horizontal="left" vertical="top" wrapText="1"/>
    </xf>
    <xf numFmtId="0" fontId="45" fillId="0" borderId="26" xfId="0" applyFont="1" applyFill="1" applyBorder="1" applyAlignment="1">
      <alignment horizontal="left" vertical="top" wrapText="1"/>
    </xf>
    <xf numFmtId="0" fontId="45" fillId="7" borderId="30" xfId="0" applyFont="1" applyFill="1" applyBorder="1" applyAlignment="1" applyProtection="1">
      <alignment horizontal="left" vertical="top" wrapText="1"/>
    </xf>
    <xf numFmtId="0" fontId="45" fillId="7" borderId="75" xfId="0" applyFont="1" applyFill="1" applyBorder="1" applyAlignment="1" applyProtection="1">
      <alignment horizontal="left" vertical="top" wrapText="1"/>
    </xf>
    <xf numFmtId="0" fontId="45" fillId="0" borderId="51" xfId="0" applyFont="1" applyBorder="1" applyAlignment="1">
      <alignment horizontal="left" vertical="top" wrapText="1"/>
    </xf>
    <xf numFmtId="0" fontId="26" fillId="0" borderId="51" xfId="0" applyFont="1" applyFill="1" applyBorder="1" applyAlignment="1">
      <alignment horizontal="left" vertical="top" wrapText="1"/>
    </xf>
    <xf numFmtId="0" fontId="26" fillId="0" borderId="15" xfId="0" applyFont="1" applyFill="1" applyBorder="1" applyAlignment="1">
      <alignment horizontal="left" vertical="top" wrapText="1"/>
    </xf>
    <xf numFmtId="0" fontId="45" fillId="7" borderId="16" xfId="0" applyFont="1" applyFill="1" applyBorder="1" applyAlignment="1">
      <alignment horizontal="left" vertical="top" wrapText="1"/>
    </xf>
    <xf numFmtId="0" fontId="44" fillId="0" borderId="51" xfId="0" applyFont="1" applyBorder="1" applyAlignment="1">
      <alignment horizontal="center" vertical="top" wrapText="1"/>
    </xf>
    <xf numFmtId="0" fontId="44" fillId="0" borderId="15" xfId="0" applyFont="1" applyBorder="1" applyAlignment="1">
      <alignment horizontal="center" vertical="top" wrapText="1"/>
    </xf>
    <xf numFmtId="14" fontId="44" fillId="15" borderId="30" xfId="0" applyNumberFormat="1" applyFont="1" applyFill="1" applyBorder="1" applyAlignment="1">
      <alignment horizontal="left" vertical="top" wrapText="1"/>
    </xf>
    <xf numFmtId="0" fontId="44" fillId="15" borderId="75" xfId="0" applyFont="1" applyFill="1" applyBorder="1" applyAlignment="1">
      <alignment horizontal="left" vertical="top" wrapText="1"/>
    </xf>
    <xf numFmtId="0" fontId="45" fillId="7" borderId="19" xfId="0" applyFont="1" applyFill="1" applyBorder="1" applyAlignment="1">
      <alignment horizontal="left" vertical="center" wrapText="1"/>
    </xf>
    <xf numFmtId="0" fontId="45" fillId="7" borderId="31" xfId="0" applyFont="1" applyFill="1" applyBorder="1" applyAlignment="1">
      <alignment horizontal="left" vertical="center" wrapText="1"/>
    </xf>
    <xf numFmtId="0" fontId="45" fillId="0" borderId="1" xfId="0" applyFont="1" applyFill="1" applyBorder="1" applyAlignment="1">
      <alignment horizontal="center" vertical="center" wrapText="1"/>
    </xf>
    <xf numFmtId="0" fontId="45" fillId="0" borderId="4" xfId="0" applyFont="1" applyFill="1" applyBorder="1" applyAlignment="1">
      <alignment horizontal="center" vertical="center" wrapText="1"/>
    </xf>
    <xf numFmtId="0" fontId="45" fillId="0" borderId="83" xfId="0" applyFont="1" applyFill="1" applyBorder="1" applyAlignment="1">
      <alignment horizontal="center" vertical="center" wrapText="1"/>
    </xf>
    <xf numFmtId="0" fontId="45" fillId="0" borderId="43" xfId="0" applyFont="1" applyFill="1" applyBorder="1" applyAlignment="1">
      <alignment horizontal="center" vertical="center" wrapText="1"/>
    </xf>
    <xf numFmtId="0" fontId="45" fillId="7" borderId="38" xfId="0" applyFont="1" applyFill="1" applyBorder="1" applyAlignment="1">
      <alignment horizontal="left" vertical="top" wrapText="1"/>
    </xf>
    <xf numFmtId="0" fontId="45" fillId="2" borderId="2" xfId="0" applyFont="1" applyFill="1" applyBorder="1" applyAlignment="1">
      <alignment horizontal="center" wrapText="1"/>
    </xf>
    <xf numFmtId="0" fontId="45" fillId="2" borderId="16" xfId="0" applyFont="1" applyFill="1" applyBorder="1" applyAlignment="1">
      <alignment horizontal="center" wrapText="1"/>
    </xf>
    <xf numFmtId="0" fontId="90" fillId="2" borderId="37" xfId="0" applyFont="1" applyFill="1" applyBorder="1" applyAlignment="1">
      <alignment horizontal="left" vertical="center" wrapText="1"/>
    </xf>
    <xf numFmtId="0" fontId="90" fillId="2" borderId="8" xfId="0" applyFont="1" applyFill="1" applyBorder="1" applyAlignment="1">
      <alignment horizontal="left" vertical="center" wrapText="1"/>
    </xf>
    <xf numFmtId="0" fontId="90" fillId="2" borderId="38" xfId="0" applyFont="1" applyFill="1" applyBorder="1" applyAlignment="1">
      <alignment horizontal="left" vertical="center" wrapText="1"/>
    </xf>
    <xf numFmtId="0" fontId="45" fillId="2" borderId="22" xfId="0" applyFont="1" applyFill="1" applyBorder="1" applyAlignment="1">
      <alignment horizontal="center" vertical="center" wrapText="1"/>
    </xf>
    <xf numFmtId="0" fontId="90" fillId="2" borderId="62" xfId="0" applyFont="1" applyFill="1" applyBorder="1" applyAlignment="1">
      <alignment horizontal="left" vertical="center" wrapText="1"/>
    </xf>
    <xf numFmtId="0" fontId="90" fillId="2" borderId="78" xfId="0" applyFont="1" applyFill="1" applyBorder="1" applyAlignment="1">
      <alignment horizontal="left" vertical="center" wrapText="1"/>
    </xf>
    <xf numFmtId="0" fontId="90" fillId="2" borderId="66" xfId="0" applyFont="1" applyFill="1" applyBorder="1" applyAlignment="1">
      <alignment horizontal="left" vertical="center" wrapText="1"/>
    </xf>
    <xf numFmtId="0" fontId="48" fillId="0" borderId="7" xfId="0" applyFont="1" applyFill="1" applyBorder="1" applyAlignment="1">
      <alignment horizontal="center" vertical="center" wrapText="1"/>
    </xf>
    <xf numFmtId="0" fontId="45" fillId="0" borderId="20"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4" borderId="21" xfId="0" applyFont="1" applyFill="1" applyBorder="1" applyAlignment="1">
      <alignment horizontal="center" vertical="center" wrapText="1"/>
    </xf>
    <xf numFmtId="0" fontId="45" fillId="4" borderId="26" xfId="0" applyFont="1" applyFill="1" applyBorder="1" applyAlignment="1">
      <alignment horizontal="center" vertical="center" wrapText="1"/>
    </xf>
    <xf numFmtId="14" fontId="45" fillId="4" borderId="21" xfId="0" applyNumberFormat="1" applyFont="1" applyFill="1" applyBorder="1" applyAlignment="1">
      <alignment horizontal="left" vertical="center" wrapText="1"/>
    </xf>
    <xf numFmtId="0" fontId="45" fillId="4" borderId="21" xfId="0" applyFont="1" applyFill="1" applyBorder="1" applyAlignment="1">
      <alignment horizontal="left" vertical="center" wrapText="1"/>
    </xf>
    <xf numFmtId="0" fontId="45" fillId="4" borderId="26" xfId="0" applyFont="1" applyFill="1" applyBorder="1" applyAlignment="1">
      <alignment horizontal="left" vertical="center" wrapText="1"/>
    </xf>
    <xf numFmtId="0" fontId="45" fillId="2" borderId="0" xfId="0" applyFont="1" applyFill="1" applyBorder="1" applyAlignment="1">
      <alignment horizontal="center" vertical="center" wrapText="1"/>
    </xf>
    <xf numFmtId="0" fontId="54" fillId="0" borderId="0" xfId="0" applyFont="1" applyAlignment="1">
      <alignment horizontal="left" wrapText="1"/>
    </xf>
    <xf numFmtId="0" fontId="44" fillId="0" borderId="0" xfId="0" applyFont="1" applyFill="1" applyBorder="1" applyAlignment="1">
      <alignment horizontal="left" vertical="center" wrapText="1"/>
    </xf>
    <xf numFmtId="0" fontId="51" fillId="0" borderId="0" xfId="0" applyFont="1" applyAlignment="1">
      <alignment horizontal="left" wrapText="1"/>
    </xf>
    <xf numFmtId="0" fontId="50" fillId="0" borderId="0" xfId="0" applyFont="1" applyAlignment="1">
      <alignment horizontal="left" wrapText="1"/>
    </xf>
    <xf numFmtId="0" fontId="45" fillId="0" borderId="0" xfId="0" applyFont="1" applyFill="1" applyBorder="1" applyAlignment="1">
      <alignment horizontal="left" vertical="center" wrapText="1"/>
    </xf>
    <xf numFmtId="0" fontId="50" fillId="0" borderId="0" xfId="0" quotePrefix="1" applyFont="1" applyAlignment="1">
      <alignment horizontal="left" wrapText="1" indent="4"/>
    </xf>
    <xf numFmtId="0" fontId="58" fillId="4" borderId="0" xfId="0" applyFont="1" applyFill="1" applyAlignment="1">
      <alignment horizontal="center" wrapText="1"/>
    </xf>
    <xf numFmtId="0" fontId="10" fillId="0" borderId="51" xfId="0" applyFont="1" applyBorder="1" applyAlignment="1">
      <alignment horizontal="left" vertical="top" wrapText="1"/>
    </xf>
    <xf numFmtId="0" fontId="10" fillId="0" borderId="15" xfId="0" applyFont="1" applyBorder="1" applyAlignment="1">
      <alignment horizontal="left" vertical="top" wrapText="1"/>
    </xf>
    <xf numFmtId="0" fontId="61" fillId="0" borderId="0" xfId="0" applyFont="1" applyAlignment="1">
      <alignment horizontal="left" wrapText="1"/>
    </xf>
    <xf numFmtId="0" fontId="10" fillId="0" borderId="33" xfId="0" applyFont="1" applyBorder="1" applyAlignment="1" applyProtection="1">
      <alignment horizontal="left" vertical="top" wrapText="1"/>
      <protection locked="0"/>
    </xf>
    <xf numFmtId="0" fontId="10" fillId="0" borderId="67" xfId="0" applyFont="1" applyBorder="1" applyAlignment="1" applyProtection="1">
      <alignment horizontal="left" vertical="top" wrapText="1"/>
      <protection locked="0"/>
    </xf>
    <xf numFmtId="0" fontId="10" fillId="0" borderId="62" xfId="0" applyFont="1" applyBorder="1" applyAlignment="1">
      <alignment horizontal="left" vertical="top" wrapText="1"/>
    </xf>
    <xf numFmtId="0" fontId="10" fillId="0" borderId="79" xfId="0" applyFont="1" applyBorder="1" applyAlignment="1">
      <alignment horizontal="left" vertical="top" wrapText="1"/>
    </xf>
    <xf numFmtId="0" fontId="10" fillId="0" borderId="0" xfId="0" applyFont="1" applyAlignment="1">
      <alignment horizontal="left" wrapText="1"/>
    </xf>
    <xf numFmtId="0" fontId="61" fillId="0" borderId="0" xfId="0" applyFont="1" applyAlignment="1">
      <alignment horizontal="center" wrapText="1"/>
    </xf>
    <xf numFmtId="0" fontId="10" fillId="0" borderId="61" xfId="0" applyFont="1" applyBorder="1" applyAlignment="1">
      <alignment horizontal="left" vertical="top" wrapText="1"/>
    </xf>
    <xf numFmtId="0" fontId="10" fillId="0" borderId="66" xfId="0" applyFont="1" applyBorder="1" applyAlignment="1">
      <alignment horizontal="left" vertical="top" wrapText="1"/>
    </xf>
    <xf numFmtId="14" fontId="10" fillId="0" borderId="30" xfId="0" applyNumberFormat="1" applyFont="1" applyBorder="1" applyAlignment="1">
      <alignment horizontal="left" vertical="top" wrapText="1"/>
    </xf>
    <xf numFmtId="14" fontId="10" fillId="0" borderId="75" xfId="0" applyNumberFormat="1" applyFont="1" applyBorder="1" applyAlignment="1">
      <alignment horizontal="left" vertical="top" wrapText="1"/>
    </xf>
    <xf numFmtId="0" fontId="10" fillId="0" borderId="30" xfId="0" applyFont="1" applyFill="1" applyBorder="1" applyAlignment="1">
      <alignment horizontal="left" vertical="top" wrapText="1"/>
    </xf>
    <xf numFmtId="0" fontId="10" fillId="0" borderId="75" xfId="0" applyFont="1" applyFill="1" applyBorder="1" applyAlignment="1">
      <alignment horizontal="left" vertical="top" wrapText="1"/>
    </xf>
    <xf numFmtId="0" fontId="10" fillId="0" borderId="61" xfId="0" applyFont="1" applyBorder="1" applyAlignment="1" applyProtection="1">
      <alignment horizontal="left" vertical="top" wrapText="1"/>
    </xf>
    <xf numFmtId="0" fontId="10" fillId="0" borderId="66" xfId="0" applyFont="1" applyBorder="1" applyAlignment="1" applyProtection="1">
      <alignment horizontal="left" vertical="top" wrapText="1"/>
    </xf>
    <xf numFmtId="0" fontId="10" fillId="4" borderId="30" xfId="0" applyFont="1" applyFill="1" applyBorder="1" applyAlignment="1" applyProtection="1">
      <alignment horizontal="left" vertical="top" wrapText="1"/>
      <protection locked="0"/>
    </xf>
    <xf numFmtId="0" fontId="10" fillId="4" borderId="75" xfId="0" applyFont="1" applyFill="1" applyBorder="1" applyAlignment="1" applyProtection="1">
      <alignment horizontal="left" vertical="top" wrapText="1"/>
      <protection locked="0"/>
    </xf>
    <xf numFmtId="0" fontId="10" fillId="0" borderId="52" xfId="0" applyFont="1" applyBorder="1" applyAlignment="1">
      <alignment horizontal="left" vertical="top" wrapText="1"/>
    </xf>
    <xf numFmtId="0" fontId="10" fillId="0" borderId="81" xfId="0" applyFont="1" applyBorder="1" applyAlignment="1">
      <alignment horizontal="left" vertical="top" wrapText="1"/>
    </xf>
    <xf numFmtId="0" fontId="10" fillId="0" borderId="83" xfId="0" applyFont="1" applyBorder="1" applyAlignment="1">
      <alignment horizontal="left" vertical="top" wrapText="1"/>
    </xf>
    <xf numFmtId="0" fontId="10" fillId="0" borderId="12" xfId="0" applyFont="1" applyBorder="1" applyAlignment="1">
      <alignment horizontal="left" vertical="top" wrapText="1"/>
    </xf>
    <xf numFmtId="0" fontId="10" fillId="0" borderId="62" xfId="0" applyFont="1" applyBorder="1" applyAlignment="1">
      <alignment horizontal="left" wrapText="1"/>
    </xf>
    <xf numFmtId="0" fontId="10" fillId="0" borderId="79" xfId="0" applyFont="1" applyBorder="1" applyAlignment="1">
      <alignment horizontal="left" wrapText="1"/>
    </xf>
    <xf numFmtId="0" fontId="3" fillId="0" borderId="20" xfId="0" applyFont="1" applyBorder="1" applyAlignment="1">
      <alignment horizontal="center"/>
    </xf>
    <xf numFmtId="0" fontId="3" fillId="0" borderId="26" xfId="0" applyFont="1" applyBorder="1" applyAlignment="1">
      <alignment horizontal="center"/>
    </xf>
    <xf numFmtId="0" fontId="3" fillId="0" borderId="1" xfId="0" applyFont="1" applyBorder="1" applyAlignment="1">
      <alignment horizontal="center"/>
    </xf>
    <xf numFmtId="0" fontId="3" fillId="0" borderId="49" xfId="0" applyFont="1" applyBorder="1" applyAlignment="1">
      <alignment horizontal="center"/>
    </xf>
    <xf numFmtId="0" fontId="10" fillId="6" borderId="1" xfId="0" applyFont="1" applyFill="1" applyBorder="1" applyAlignment="1">
      <alignment horizontal="center" vertical="top" wrapText="1"/>
    </xf>
    <xf numFmtId="0" fontId="10" fillId="6" borderId="49" xfId="0" applyFont="1" applyFill="1" applyBorder="1" applyAlignment="1">
      <alignment horizontal="center" vertical="top" wrapText="1"/>
    </xf>
    <xf numFmtId="0" fontId="10" fillId="6" borderId="6" xfId="0" applyFont="1" applyFill="1" applyBorder="1" applyAlignment="1">
      <alignment horizontal="center" vertical="top" wrapText="1"/>
    </xf>
    <xf numFmtId="0" fontId="10" fillId="6" borderId="17" xfId="0" applyFont="1" applyFill="1" applyBorder="1" applyAlignment="1">
      <alignment horizontal="center" vertical="top" wrapText="1"/>
    </xf>
    <xf numFmtId="0" fontId="3" fillId="0" borderId="0" xfId="0" applyFont="1" applyAlignment="1">
      <alignment horizontal="center"/>
    </xf>
    <xf numFmtId="0" fontId="70" fillId="22" borderId="30" xfId="0" applyFont="1" applyFill="1" applyBorder="1" applyAlignment="1" applyProtection="1">
      <alignment horizontal="center"/>
      <protection locked="0"/>
    </xf>
    <xf numFmtId="0" fontId="70" fillId="22" borderId="15" xfId="0" applyFont="1" applyFill="1" applyBorder="1" applyAlignment="1" applyProtection="1">
      <alignment horizontal="center"/>
      <protection locked="0"/>
    </xf>
    <xf numFmtId="0" fontId="0" fillId="0" borderId="2" xfId="0" applyBorder="1" applyAlignment="1">
      <alignment horizontal="left"/>
    </xf>
    <xf numFmtId="0" fontId="56" fillId="22" borderId="30" xfId="0" applyFont="1" applyFill="1" applyBorder="1" applyAlignment="1" applyProtection="1">
      <alignment horizontal="center"/>
      <protection locked="0"/>
    </xf>
    <xf numFmtId="0" fontId="56" fillId="22" borderId="41" xfId="0" applyFont="1" applyFill="1" applyBorder="1" applyAlignment="1" applyProtection="1">
      <alignment horizontal="center"/>
      <protection locked="0"/>
    </xf>
    <xf numFmtId="0" fontId="56" fillId="22" borderId="15" xfId="0" applyFont="1" applyFill="1" applyBorder="1" applyAlignment="1" applyProtection="1">
      <alignment horizontal="center"/>
      <protection locked="0"/>
    </xf>
    <xf numFmtId="0" fontId="70" fillId="22" borderId="2" xfId="0" applyFont="1" applyFill="1" applyBorder="1" applyAlignment="1" applyProtection="1">
      <alignment horizontal="center"/>
      <protection locked="0"/>
    </xf>
    <xf numFmtId="0" fontId="70" fillId="23" borderId="2" xfId="0" applyFont="1" applyFill="1" applyBorder="1" applyAlignment="1" applyProtection="1">
      <alignment horizontal="left"/>
      <protection locked="0"/>
    </xf>
    <xf numFmtId="0" fontId="70" fillId="0" borderId="2" xfId="0" applyFont="1" applyBorder="1" applyAlignment="1" applyProtection="1">
      <alignment horizontal="center"/>
      <protection locked="0"/>
    </xf>
    <xf numFmtId="0" fontId="70" fillId="23" borderId="30" xfId="0" applyFont="1" applyFill="1" applyBorder="1" applyAlignment="1" applyProtection="1">
      <alignment horizontal="left"/>
      <protection locked="0"/>
    </xf>
    <xf numFmtId="0" fontId="70" fillId="23" borderId="41" xfId="0" applyFont="1" applyFill="1" applyBorder="1" applyAlignment="1" applyProtection="1">
      <alignment horizontal="left"/>
      <protection locked="0"/>
    </xf>
    <xf numFmtId="0" fontId="70" fillId="23" borderId="15" xfId="0" applyFont="1" applyFill="1" applyBorder="1" applyAlignment="1" applyProtection="1">
      <alignment horizontal="left"/>
      <protection locked="0"/>
    </xf>
    <xf numFmtId="0" fontId="80" fillId="23" borderId="2" xfId="0" applyFont="1" applyFill="1" applyBorder="1" applyAlignment="1" applyProtection="1">
      <alignment horizontal="left"/>
      <protection locked="0"/>
    </xf>
    <xf numFmtId="0" fontId="70" fillId="22" borderId="45" xfId="0" applyFont="1" applyFill="1" applyBorder="1" applyAlignment="1" applyProtection="1">
      <alignment horizontal="center"/>
      <protection locked="0"/>
    </xf>
    <xf numFmtId="0" fontId="70" fillId="22" borderId="76" xfId="0" applyFont="1" applyFill="1" applyBorder="1" applyAlignment="1" applyProtection="1">
      <alignment horizontal="center"/>
      <protection locked="0"/>
    </xf>
    <xf numFmtId="0" fontId="0" fillId="0" borderId="2" xfId="0" applyBorder="1" applyAlignment="1" applyProtection="1">
      <alignment horizontal="left"/>
      <protection locked="0"/>
    </xf>
    <xf numFmtId="0" fontId="70" fillId="0" borderId="45" xfId="0" applyFont="1" applyBorder="1" applyAlignment="1">
      <alignment horizontal="center"/>
    </xf>
    <xf numFmtId="0" fontId="70" fillId="0" borderId="76" xfId="0" applyFont="1" applyBorder="1" applyAlignment="1">
      <alignment horizontal="center"/>
    </xf>
    <xf numFmtId="0" fontId="70" fillId="0" borderId="77" xfId="0" applyFont="1" applyBorder="1" applyAlignment="1">
      <alignment horizontal="center"/>
    </xf>
    <xf numFmtId="0" fontId="70" fillId="0" borderId="54" xfId="0" applyFont="1" applyBorder="1" applyAlignment="1">
      <alignment horizontal="center"/>
    </xf>
    <xf numFmtId="0" fontId="70" fillId="0" borderId="73" xfId="0" applyFont="1" applyBorder="1" applyAlignment="1">
      <alignment horizontal="center"/>
    </xf>
    <xf numFmtId="0" fontId="70" fillId="0" borderId="12" xfId="0" applyFont="1" applyBorder="1" applyAlignment="1">
      <alignment horizontal="center"/>
    </xf>
    <xf numFmtId="0" fontId="121" fillId="23" borderId="2" xfId="0" applyFont="1" applyFill="1" applyBorder="1" applyAlignment="1" applyProtection="1">
      <alignment horizontal="left" wrapText="1"/>
      <protection locked="0"/>
    </xf>
    <xf numFmtId="0" fontId="70" fillId="0" borderId="0" xfId="0" applyFont="1" applyAlignment="1" applyProtection="1">
      <alignment horizontal="center"/>
      <protection locked="0"/>
    </xf>
    <xf numFmtId="0" fontId="70" fillId="0" borderId="45" xfId="0" applyFont="1" applyBorder="1" applyAlignment="1" applyProtection="1">
      <alignment horizontal="center"/>
      <protection locked="0"/>
    </xf>
    <xf numFmtId="0" fontId="70" fillId="0" borderId="76" xfId="0" applyFont="1" applyBorder="1" applyAlignment="1" applyProtection="1">
      <alignment horizontal="center"/>
      <protection locked="0"/>
    </xf>
    <xf numFmtId="0" fontId="70" fillId="0" borderId="77" xfId="0" applyFont="1" applyBorder="1" applyAlignment="1" applyProtection="1">
      <alignment horizontal="center"/>
      <protection locked="0"/>
    </xf>
    <xf numFmtId="0" fontId="70" fillId="0" borderId="54" xfId="0" applyFont="1" applyBorder="1" applyAlignment="1" applyProtection="1">
      <alignment horizontal="center"/>
      <protection locked="0"/>
    </xf>
    <xf numFmtId="0" fontId="70" fillId="0" borderId="73" xfId="0" applyFont="1" applyBorder="1" applyAlignment="1" applyProtection="1">
      <alignment horizontal="center"/>
      <protection locked="0"/>
    </xf>
    <xf numFmtId="0" fontId="70" fillId="0" borderId="12" xfId="0" applyFont="1" applyBorder="1" applyAlignment="1" applyProtection="1">
      <alignment horizontal="center"/>
      <protection locked="0"/>
    </xf>
    <xf numFmtId="0" fontId="0" fillId="12" borderId="47" xfId="0" applyNumberFormat="1" applyFill="1" applyBorder="1" applyAlignment="1">
      <alignment horizontal="left" vertical="top" wrapText="1"/>
    </xf>
    <xf numFmtId="0" fontId="0" fillId="12" borderId="42" xfId="0" applyNumberFormat="1" applyFill="1" applyBorder="1" applyAlignment="1">
      <alignment horizontal="left" vertical="top" wrapText="1"/>
    </xf>
    <xf numFmtId="0" fontId="8" fillId="6" borderId="21" xfId="0" applyFont="1" applyFill="1" applyBorder="1" applyAlignment="1">
      <alignment horizontal="center"/>
    </xf>
    <xf numFmtId="0" fontId="11" fillId="4" borderId="20" xfId="0" applyFont="1" applyFill="1" applyBorder="1" applyAlignment="1">
      <alignment horizontal="center"/>
    </xf>
    <xf numFmtId="0" fontId="11" fillId="4" borderId="21" xfId="0" applyFont="1" applyFill="1" applyBorder="1" applyAlignment="1">
      <alignment horizontal="center"/>
    </xf>
    <xf numFmtId="0" fontId="3" fillId="2" borderId="11" xfId="0" applyNumberFormat="1" applyFont="1" applyFill="1" applyBorder="1" applyAlignment="1">
      <alignment horizontal="center" vertical="top" wrapText="1"/>
    </xf>
    <xf numFmtId="0" fontId="3" fillId="2" borderId="28" xfId="0" applyNumberFormat="1" applyFont="1" applyFill="1" applyBorder="1" applyAlignment="1">
      <alignment horizontal="center" vertical="top" wrapText="1"/>
    </xf>
    <xf numFmtId="0" fontId="0" fillId="12" borderId="44" xfId="0" applyNumberFormat="1" applyFill="1" applyBorder="1" applyAlignment="1">
      <alignment horizontal="left" vertical="top" wrapText="1"/>
    </xf>
    <xf numFmtId="0" fontId="0" fillId="12" borderId="73" xfId="0" applyFill="1" applyBorder="1" applyAlignment="1">
      <alignment horizontal="left" vertical="top" wrapText="1"/>
    </xf>
    <xf numFmtId="0" fontId="0" fillId="12" borderId="15" xfId="0" applyFill="1" applyBorder="1" applyAlignment="1">
      <alignment horizontal="left" vertical="top" wrapText="1"/>
    </xf>
    <xf numFmtId="0" fontId="3" fillId="2" borderId="69" xfId="0" applyFont="1" applyFill="1" applyBorder="1" applyAlignment="1">
      <alignment horizontal="center" vertical="top" wrapText="1"/>
    </xf>
    <xf numFmtId="0" fontId="3" fillId="2" borderId="21" xfId="0" applyFont="1" applyFill="1" applyBorder="1" applyAlignment="1">
      <alignment horizontal="center" vertical="top" wrapText="1"/>
    </xf>
    <xf numFmtId="0" fontId="3" fillId="2" borderId="26" xfId="0" applyFont="1" applyFill="1" applyBorder="1" applyAlignment="1">
      <alignment horizontal="center" vertical="top" wrapText="1"/>
    </xf>
    <xf numFmtId="0" fontId="0" fillId="12" borderId="46" xfId="0" applyNumberFormat="1" applyFill="1" applyBorder="1" applyAlignment="1">
      <alignment horizontal="left" vertical="top" wrapText="1"/>
    </xf>
    <xf numFmtId="0" fontId="3" fillId="2" borderId="2" xfId="0" applyFont="1" applyFill="1" applyBorder="1" applyAlignment="1">
      <alignment horizontal="center" vertical="top"/>
    </xf>
    <xf numFmtId="0" fontId="0" fillId="12" borderId="19" xfId="0" applyFill="1" applyBorder="1" applyAlignment="1">
      <alignment horizontal="left" vertical="top" wrapText="1"/>
    </xf>
    <xf numFmtId="0" fontId="0" fillId="12" borderId="18" xfId="0" applyFill="1" applyBorder="1" applyAlignment="1">
      <alignment horizontal="left" vertical="top" wrapText="1"/>
    </xf>
    <xf numFmtId="0" fontId="3" fillId="2" borderId="11" xfId="0" applyFont="1" applyFill="1" applyBorder="1" applyAlignment="1">
      <alignment horizontal="center" vertical="top" wrapText="1"/>
    </xf>
    <xf numFmtId="0" fontId="3" fillId="2" borderId="28" xfId="0" applyFont="1" applyFill="1" applyBorder="1" applyAlignment="1">
      <alignment horizontal="center" vertical="top" wrapText="1"/>
    </xf>
    <xf numFmtId="0" fontId="0" fillId="12" borderId="44" xfId="0" applyFill="1" applyBorder="1" applyAlignment="1">
      <alignment horizontal="left" vertical="top"/>
    </xf>
    <xf numFmtId="0" fontId="0" fillId="12" borderId="46" xfId="0" applyFill="1" applyBorder="1" applyAlignment="1">
      <alignment horizontal="left" vertical="top"/>
    </xf>
    <xf numFmtId="0" fontId="3" fillId="2" borderId="61" xfId="0" applyFont="1" applyFill="1" applyBorder="1" applyAlignment="1">
      <alignment horizontal="center" vertical="top" wrapText="1"/>
    </xf>
    <xf numFmtId="0" fontId="3" fillId="2" borderId="78" xfId="0" applyFont="1" applyFill="1" applyBorder="1" applyAlignment="1">
      <alignment horizontal="center" vertical="top" wrapText="1"/>
    </xf>
    <xf numFmtId="0" fontId="3" fillId="2" borderId="66" xfId="0" applyFont="1" applyFill="1" applyBorder="1" applyAlignment="1">
      <alignment horizontal="center" vertical="top" wrapText="1"/>
    </xf>
    <xf numFmtId="0" fontId="3" fillId="4" borderId="20" xfId="0" applyFont="1" applyFill="1" applyBorder="1" applyAlignment="1">
      <alignment horizontal="left" vertical="top" wrapText="1"/>
    </xf>
    <xf numFmtId="0" fontId="3" fillId="4" borderId="21" xfId="0" applyFont="1" applyFill="1" applyBorder="1" applyAlignment="1">
      <alignment horizontal="left" vertical="top" wrapText="1"/>
    </xf>
    <xf numFmtId="0" fontId="0" fillId="0" borderId="51" xfId="0" applyBorder="1" applyAlignment="1">
      <alignment horizontal="left" vertical="top" wrapText="1"/>
    </xf>
    <xf numFmtId="0" fontId="0" fillId="0" borderId="15" xfId="0" applyBorder="1" applyAlignment="1">
      <alignment horizontal="left" vertical="top" wrapText="1"/>
    </xf>
    <xf numFmtId="0" fontId="0" fillId="0" borderId="2" xfId="0" applyFill="1" applyBorder="1" applyAlignment="1">
      <alignment horizontal="left" vertical="top" wrapText="1"/>
    </xf>
    <xf numFmtId="0" fontId="0" fillId="0" borderId="2" xfId="0" applyBorder="1" applyAlignment="1">
      <alignment horizontal="left" vertical="top" wrapText="1"/>
    </xf>
    <xf numFmtId="0" fontId="3" fillId="9" borderId="30" xfId="0" applyFont="1" applyFill="1" applyBorder="1" applyAlignment="1">
      <alignment horizontal="center" vertical="top" wrapText="1"/>
    </xf>
    <xf numFmtId="0" fontId="3" fillId="9" borderId="15" xfId="0" applyFont="1" applyFill="1" applyBorder="1" applyAlignment="1">
      <alignment horizontal="center" vertical="top" wrapText="1"/>
    </xf>
    <xf numFmtId="0" fontId="0" fillId="0" borderId="0" xfId="0" applyFill="1" applyBorder="1" applyAlignment="1">
      <alignment horizontal="center" vertical="top" wrapText="1"/>
    </xf>
    <xf numFmtId="0" fontId="45" fillId="6" borderId="21" xfId="0" applyFont="1" applyFill="1" applyBorder="1" applyAlignment="1">
      <alignment horizontal="center" vertical="top" wrapText="1"/>
    </xf>
    <xf numFmtId="0" fontId="45" fillId="6" borderId="26" xfId="0" applyFont="1" applyFill="1" applyBorder="1" applyAlignment="1">
      <alignment horizontal="center" vertical="top" wrapText="1"/>
    </xf>
    <xf numFmtId="0" fontId="3" fillId="24" borderId="1" xfId="0" applyFont="1" applyFill="1" applyBorder="1" applyAlignment="1">
      <alignment vertical="top" wrapText="1"/>
    </xf>
    <xf numFmtId="0" fontId="3" fillId="24" borderId="3" xfId="0" applyFont="1" applyFill="1" applyBorder="1" applyAlignment="1">
      <alignment vertical="top" wrapText="1"/>
    </xf>
    <xf numFmtId="0" fontId="3" fillId="24" borderId="49" xfId="0" applyFont="1" applyFill="1" applyBorder="1" applyAlignment="1">
      <alignment vertical="top" wrapText="1"/>
    </xf>
    <xf numFmtId="0" fontId="0" fillId="17" borderId="2" xfId="0" applyFill="1" applyBorder="1" applyAlignment="1">
      <alignment horizontal="left" vertical="top" wrapText="1"/>
    </xf>
    <xf numFmtId="0" fontId="0" fillId="7" borderId="2" xfId="0" applyFill="1" applyBorder="1" applyAlignment="1">
      <alignment horizontal="left" vertical="top" wrapText="1"/>
    </xf>
    <xf numFmtId="0" fontId="3" fillId="2" borderId="10" xfId="0" applyFont="1" applyFill="1" applyBorder="1" applyAlignment="1">
      <alignment horizontal="center" vertical="top" wrapText="1"/>
    </xf>
    <xf numFmtId="0" fontId="3" fillId="0" borderId="36"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20" xfId="0" applyFont="1" applyBorder="1" applyAlignment="1">
      <alignment horizontal="left" vertical="top"/>
    </xf>
    <xf numFmtId="0" fontId="3" fillId="0" borderId="21" xfId="0" applyFont="1" applyBorder="1" applyAlignment="1">
      <alignment horizontal="left" vertical="top"/>
    </xf>
    <xf numFmtId="0" fontId="3" fillId="0" borderId="26" xfId="0" applyFont="1" applyBorder="1" applyAlignment="1">
      <alignment horizontal="left" vertical="top"/>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2" borderId="2" xfId="0" applyFont="1" applyFill="1" applyBorder="1" applyAlignment="1">
      <alignment horizontal="center" vertical="top" wrapText="1"/>
    </xf>
    <xf numFmtId="0" fontId="15" fillId="0" borderId="30" xfId="0" applyFont="1" applyFill="1" applyBorder="1" applyAlignment="1">
      <alignment horizontal="center" vertical="top"/>
    </xf>
    <xf numFmtId="0" fontId="15" fillId="0" borderId="41" xfId="0" applyFont="1" applyFill="1" applyBorder="1" applyAlignment="1">
      <alignment horizontal="center" vertical="top"/>
    </xf>
    <xf numFmtId="0" fontId="8" fillId="6" borderId="21" xfId="0" applyFont="1" applyFill="1" applyBorder="1" applyAlignment="1">
      <alignment horizontal="center" vertical="top" wrapText="1"/>
    </xf>
    <xf numFmtId="0" fontId="8" fillId="6" borderId="26" xfId="0" applyFont="1" applyFill="1" applyBorder="1" applyAlignment="1">
      <alignment horizontal="center" vertical="top" wrapText="1"/>
    </xf>
    <xf numFmtId="0" fontId="9" fillId="0" borderId="73" xfId="0" applyFont="1" applyBorder="1" applyAlignment="1">
      <alignment horizontal="left" vertical="top" wrapText="1"/>
    </xf>
    <xf numFmtId="0" fontId="9" fillId="0" borderId="74" xfId="0" applyFont="1" applyBorder="1" applyAlignment="1">
      <alignment horizontal="left" vertical="top" wrapText="1"/>
    </xf>
    <xf numFmtId="0" fontId="9" fillId="0" borderId="12" xfId="0" applyFont="1" applyBorder="1" applyAlignment="1">
      <alignment horizontal="left" vertical="top" wrapText="1"/>
    </xf>
    <xf numFmtId="0" fontId="3" fillId="2" borderId="20" xfId="0" applyFont="1" applyFill="1" applyBorder="1" applyAlignment="1">
      <alignment horizontal="center" vertical="top" wrapText="1"/>
    </xf>
    <xf numFmtId="0" fontId="3" fillId="2" borderId="53" xfId="0" applyFont="1" applyFill="1" applyBorder="1" applyAlignment="1">
      <alignment horizontal="center" vertical="top" wrapText="1"/>
    </xf>
    <xf numFmtId="0" fontId="13" fillId="4" borderId="20" xfId="0" applyFont="1" applyFill="1" applyBorder="1" applyAlignment="1">
      <alignment horizontal="left" vertical="top"/>
    </xf>
    <xf numFmtId="0" fontId="13" fillId="4" borderId="21" xfId="0" applyFont="1" applyFill="1" applyBorder="1" applyAlignment="1">
      <alignment horizontal="left" vertical="top"/>
    </xf>
    <xf numFmtId="0" fontId="4" fillId="0" borderId="47" xfId="0" applyFont="1" applyFill="1" applyBorder="1" applyAlignment="1">
      <alignment horizontal="left" vertical="top" wrapText="1"/>
    </xf>
    <xf numFmtId="0" fontId="4" fillId="0" borderId="19" xfId="0" applyFont="1" applyFill="1" applyBorder="1" applyAlignment="1">
      <alignment horizontal="left" vertical="top" wrapText="1"/>
    </xf>
    <xf numFmtId="0" fontId="3" fillId="0" borderId="26" xfId="0" applyFont="1" applyBorder="1" applyAlignment="1">
      <alignment horizontal="left" vertical="top" wrapText="1"/>
    </xf>
    <xf numFmtId="0" fontId="0" fillId="0" borderId="62" xfId="0" applyBorder="1" applyAlignment="1">
      <alignment horizontal="left" vertical="top" wrapText="1"/>
    </xf>
    <xf numFmtId="0" fontId="0" fillId="0" borderId="79" xfId="0" applyBorder="1" applyAlignment="1">
      <alignment horizontal="left" vertical="top" wrapText="1"/>
    </xf>
    <xf numFmtId="0" fontId="0" fillId="0" borderId="22" xfId="0" applyBorder="1" applyAlignment="1">
      <alignment horizontal="left" vertical="top" wrapText="1"/>
    </xf>
    <xf numFmtId="0" fontId="0" fillId="4" borderId="62" xfId="0" applyFill="1" applyBorder="1" applyAlignment="1">
      <alignment horizontal="left" vertical="top" wrapText="1"/>
    </xf>
    <xf numFmtId="0" fontId="0" fillId="0" borderId="78" xfId="0" applyBorder="1"/>
    <xf numFmtId="0" fontId="0" fillId="4" borderId="22" xfId="0" applyFill="1" applyBorder="1" applyAlignment="1">
      <alignment horizontal="left" vertical="top" wrapText="1"/>
    </xf>
    <xf numFmtId="0" fontId="0" fillId="4" borderId="2" xfId="0" applyFill="1" applyBorder="1" applyAlignment="1">
      <alignment horizontal="left" vertical="top" wrapText="1"/>
    </xf>
    <xf numFmtId="0" fontId="0" fillId="4" borderId="30" xfId="0" applyFill="1" applyBorder="1" applyAlignment="1">
      <alignment horizontal="left" vertical="top" wrapText="1"/>
    </xf>
    <xf numFmtId="0" fontId="1" fillId="0" borderId="2" xfId="0" applyFont="1" applyBorder="1" applyAlignment="1">
      <alignment horizontal="left" vertical="top" wrapText="1"/>
    </xf>
    <xf numFmtId="0" fontId="3" fillId="4" borderId="26" xfId="0" applyFont="1" applyFill="1" applyBorder="1" applyAlignment="1">
      <alignment horizontal="left" vertical="top" wrapText="1"/>
    </xf>
    <xf numFmtId="0" fontId="0" fillId="4" borderId="10" xfId="0" applyFill="1" applyBorder="1" applyAlignment="1">
      <alignment horizontal="left" vertical="top" wrapText="1"/>
    </xf>
    <xf numFmtId="0" fontId="0" fillId="4" borderId="11" xfId="0" applyFill="1" applyBorder="1" applyAlignment="1">
      <alignment horizontal="left" vertical="top" wrapText="1"/>
    </xf>
    <xf numFmtId="0" fontId="0" fillId="4" borderId="69" xfId="0" applyFill="1" applyBorder="1" applyAlignment="1">
      <alignment horizontal="left" vertical="top" wrapText="1"/>
    </xf>
    <xf numFmtId="0" fontId="0" fillId="0" borderId="37" xfId="0" applyFill="1" applyBorder="1" applyAlignment="1">
      <alignment horizontal="left" vertical="top" wrapText="1"/>
    </xf>
    <xf numFmtId="0" fontId="0" fillId="0" borderId="8" xfId="0" applyFill="1" applyBorder="1" applyAlignment="1">
      <alignment horizontal="left" vertical="top" wrapText="1"/>
    </xf>
    <xf numFmtId="0" fontId="0" fillId="0" borderId="61" xfId="0" applyFill="1" applyBorder="1" applyAlignment="1">
      <alignment horizontal="left" vertical="top" wrapText="1"/>
    </xf>
    <xf numFmtId="0" fontId="0" fillId="0" borderId="36" xfId="0" applyFill="1" applyBorder="1" applyAlignment="1">
      <alignment horizontal="left" vertical="top" wrapText="1"/>
    </xf>
    <xf numFmtId="0" fontId="0" fillId="0" borderId="9" xfId="0" applyFill="1" applyBorder="1" applyAlignment="1">
      <alignment horizontal="left" vertical="top" wrapText="1"/>
    </xf>
    <xf numFmtId="0" fontId="0" fillId="0" borderId="33" xfId="0" applyFill="1" applyBorder="1" applyAlignment="1">
      <alignment horizontal="left" vertical="top" wrapText="1"/>
    </xf>
    <xf numFmtId="0" fontId="3" fillId="2" borderId="1"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49" xfId="0" applyFont="1" applyFill="1" applyBorder="1" applyAlignment="1">
      <alignment horizontal="center" vertical="top" wrapText="1"/>
    </xf>
    <xf numFmtId="0" fontId="3" fillId="0" borderId="0" xfId="0" applyFont="1" applyFill="1" applyBorder="1" applyAlignment="1">
      <alignment horizontal="center" vertical="top" wrapText="1"/>
    </xf>
    <xf numFmtId="0" fontId="0" fillId="0" borderId="0" xfId="0" applyFill="1" applyBorder="1" applyAlignment="1">
      <alignment horizontal="left" vertical="top" wrapText="1"/>
    </xf>
    <xf numFmtId="0" fontId="0" fillId="10" borderId="51" xfId="0" applyFill="1" applyBorder="1" applyAlignment="1">
      <alignment horizontal="left" vertical="top" wrapText="1"/>
    </xf>
    <xf numFmtId="0" fontId="0" fillId="0" borderId="15" xfId="0" applyBorder="1"/>
    <xf numFmtId="0" fontId="0" fillId="10" borderId="52" xfId="0" applyFill="1" applyBorder="1" applyAlignment="1">
      <alignment horizontal="left" vertical="top" wrapText="1"/>
    </xf>
    <xf numFmtId="0" fontId="0" fillId="0" borderId="81" xfId="0" applyBorder="1"/>
    <xf numFmtId="0" fontId="0" fillId="4" borderId="36" xfId="0" applyFill="1" applyBorder="1" applyAlignment="1">
      <alignment horizontal="left" vertical="top" wrapText="1"/>
    </xf>
    <xf numFmtId="0" fontId="0" fillId="4" borderId="9" xfId="0" applyFill="1" applyBorder="1" applyAlignment="1">
      <alignment horizontal="left" vertical="top" wrapText="1"/>
    </xf>
    <xf numFmtId="0" fontId="0" fillId="4" borderId="33" xfId="0" applyFill="1" applyBorder="1" applyAlignment="1">
      <alignment horizontal="left" vertical="top" wrapText="1"/>
    </xf>
    <xf numFmtId="0" fontId="0" fillId="4" borderId="51" xfId="0" applyFill="1" applyBorder="1" applyAlignment="1">
      <alignment horizontal="left" vertical="top" wrapText="1"/>
    </xf>
    <xf numFmtId="0" fontId="0" fillId="4" borderId="41" xfId="0" applyFill="1" applyBorder="1" applyAlignment="1">
      <alignment horizontal="left" vertical="top" wrapText="1"/>
    </xf>
    <xf numFmtId="0" fontId="0" fillId="4" borderId="75" xfId="0" applyFill="1" applyBorder="1" applyAlignment="1">
      <alignment horizontal="left" vertical="top" wrapText="1"/>
    </xf>
    <xf numFmtId="0" fontId="0" fillId="4" borderId="37" xfId="0" applyFill="1" applyBorder="1" applyAlignment="1">
      <alignment horizontal="left" vertical="top" wrapText="1"/>
    </xf>
    <xf numFmtId="0" fontId="0" fillId="4" borderId="8" xfId="0" applyFill="1" applyBorder="1" applyAlignment="1">
      <alignment horizontal="left" vertical="top" wrapText="1"/>
    </xf>
    <xf numFmtId="0" fontId="0" fillId="4" borderId="61" xfId="0" applyFill="1" applyBorder="1" applyAlignment="1">
      <alignment horizontal="left" vertical="top" wrapText="1"/>
    </xf>
    <xf numFmtId="0" fontId="12" fillId="0" borderId="0" xfId="0" applyFont="1" applyFill="1" applyAlignment="1">
      <alignment horizontal="center" vertical="top" wrapText="1"/>
    </xf>
    <xf numFmtId="0" fontId="0" fillId="10" borderId="62" xfId="0" applyFill="1" applyBorder="1" applyAlignment="1">
      <alignment horizontal="left" vertical="top" wrapText="1"/>
    </xf>
    <xf numFmtId="0" fontId="0" fillId="0" borderId="79" xfId="0" applyBorder="1"/>
    <xf numFmtId="0" fontId="3" fillId="10" borderId="39" xfId="0" applyFont="1" applyFill="1" applyBorder="1" applyAlignment="1">
      <alignment horizontal="center" vertical="top" wrapText="1"/>
    </xf>
    <xf numFmtId="0" fontId="3" fillId="10" borderId="48" xfId="0" applyFont="1" applyFill="1" applyBorder="1" applyAlignment="1">
      <alignment horizontal="center" vertical="top" wrapText="1"/>
    </xf>
    <xf numFmtId="0" fontId="3" fillId="10" borderId="29" xfId="0" applyFont="1" applyFill="1" applyBorder="1" applyAlignment="1">
      <alignment horizontal="center" vertical="top" wrapText="1"/>
    </xf>
    <xf numFmtId="0" fontId="0" fillId="0" borderId="37" xfId="0" applyBorder="1" applyAlignment="1">
      <alignment horizontal="left" vertical="top" wrapText="1"/>
    </xf>
    <xf numFmtId="0" fontId="0" fillId="0" borderId="8" xfId="0" applyBorder="1" applyAlignment="1">
      <alignment horizontal="left" vertical="top" wrapText="1"/>
    </xf>
    <xf numFmtId="0" fontId="0" fillId="0" borderId="20" xfId="0" applyFill="1" applyBorder="1" applyAlignment="1">
      <alignment horizontal="left" vertical="top" wrapText="1"/>
    </xf>
    <xf numFmtId="0" fontId="0" fillId="0" borderId="21" xfId="0" applyFill="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164" fontId="3" fillId="12" borderId="61" xfId="0" applyNumberFormat="1" applyFont="1" applyFill="1" applyBorder="1" applyAlignment="1">
      <alignment horizontal="right" vertical="top"/>
    </xf>
    <xf numFmtId="164" fontId="3" fillId="12" borderId="78" xfId="0" applyNumberFormat="1" applyFont="1" applyFill="1" applyBorder="1" applyAlignment="1">
      <alignment horizontal="right" vertical="top"/>
    </xf>
    <xf numFmtId="164" fontId="3" fillId="12" borderId="66" xfId="0" applyNumberFormat="1" applyFont="1" applyFill="1" applyBorder="1" applyAlignment="1">
      <alignment horizontal="right" vertical="top"/>
    </xf>
    <xf numFmtId="0" fontId="3" fillId="12" borderId="33" xfId="0" applyFont="1" applyFill="1" applyBorder="1" applyAlignment="1">
      <alignment horizontal="right" vertical="top"/>
    </xf>
    <xf numFmtId="0" fontId="3" fillId="12" borderId="59" xfId="0" applyFont="1" applyFill="1" applyBorder="1" applyAlignment="1">
      <alignment horizontal="right" vertical="top"/>
    </xf>
    <xf numFmtId="0" fontId="3" fillId="12" borderId="67" xfId="0" applyFont="1" applyFill="1" applyBorder="1" applyAlignment="1">
      <alignment horizontal="right" vertical="top"/>
    </xf>
    <xf numFmtId="0" fontId="3" fillId="9" borderId="48" xfId="0" applyFont="1" applyFill="1" applyBorder="1" applyAlignment="1">
      <alignment horizontal="left" vertical="top"/>
    </xf>
    <xf numFmtId="0" fontId="3" fillId="9" borderId="29" xfId="0" applyFont="1" applyFill="1" applyBorder="1" applyAlignment="1">
      <alignment horizontal="left" vertical="top"/>
    </xf>
    <xf numFmtId="0" fontId="3" fillId="12" borderId="61" xfId="0" applyFont="1" applyFill="1" applyBorder="1" applyAlignment="1">
      <alignment horizontal="left" vertical="top"/>
    </xf>
    <xf numFmtId="0" fontId="3" fillId="12" borderId="78" xfId="0" applyFont="1" applyFill="1" applyBorder="1" applyAlignment="1">
      <alignment horizontal="left" vertical="top"/>
    </xf>
    <xf numFmtId="0" fontId="3" fillId="12" borderId="79" xfId="0" applyFont="1" applyFill="1" applyBorder="1" applyAlignment="1">
      <alignment horizontal="left" vertical="top"/>
    </xf>
    <xf numFmtId="0" fontId="3" fillId="12" borderId="30" xfId="0" applyFont="1" applyFill="1" applyBorder="1" applyAlignment="1">
      <alignment horizontal="left" vertical="top"/>
    </xf>
    <xf numFmtId="0" fontId="3" fillId="12" borderId="41" xfId="0" applyFont="1" applyFill="1" applyBorder="1" applyAlignment="1">
      <alignment horizontal="left" vertical="top"/>
    </xf>
    <xf numFmtId="0" fontId="3" fillId="12" borderId="15" xfId="0" applyFont="1" applyFill="1" applyBorder="1" applyAlignment="1">
      <alignment horizontal="left" vertical="top"/>
    </xf>
    <xf numFmtId="0" fontId="3" fillId="12" borderId="33" xfId="0" applyFont="1" applyFill="1" applyBorder="1" applyAlignment="1">
      <alignment horizontal="left" vertical="top"/>
    </xf>
    <xf numFmtId="0" fontId="3" fillId="12" borderId="59" xfId="0" applyFont="1" applyFill="1" applyBorder="1" applyAlignment="1">
      <alignment horizontal="left" vertical="top"/>
    </xf>
    <xf numFmtId="0" fontId="3" fillId="12" borderId="81" xfId="0" applyFont="1" applyFill="1" applyBorder="1" applyAlignment="1">
      <alignment horizontal="left" vertical="top"/>
    </xf>
    <xf numFmtId="0" fontId="0" fillId="0" borderId="41" xfId="0" applyBorder="1" applyAlignment="1">
      <alignment horizontal="left" vertical="top"/>
    </xf>
    <xf numFmtId="0" fontId="0" fillId="0" borderId="12" xfId="0" applyBorder="1" applyAlignment="1">
      <alignment horizontal="left" vertical="top"/>
    </xf>
    <xf numFmtId="0" fontId="0" fillId="0" borderId="30" xfId="0" applyBorder="1" applyAlignment="1">
      <alignment horizontal="left" vertical="top"/>
    </xf>
    <xf numFmtId="0" fontId="0" fillId="0" borderId="15" xfId="0" applyBorder="1" applyAlignment="1">
      <alignment horizontal="left" vertical="top"/>
    </xf>
    <xf numFmtId="2" fontId="0" fillId="0" borderId="30" xfId="0" applyNumberFormat="1" applyBorder="1" applyAlignment="1">
      <alignment horizontal="left" vertical="top"/>
    </xf>
    <xf numFmtId="0" fontId="0" fillId="0" borderId="13" xfId="0" applyBorder="1" applyAlignment="1">
      <alignment horizontal="left" vertical="top"/>
    </xf>
    <xf numFmtId="1" fontId="0" fillId="0" borderId="30" xfId="0" applyNumberFormat="1" applyBorder="1" applyAlignment="1">
      <alignment horizontal="left" vertical="top"/>
    </xf>
    <xf numFmtId="1" fontId="0" fillId="0" borderId="41" xfId="0" applyNumberFormat="1" applyBorder="1" applyAlignment="1">
      <alignment horizontal="left" vertical="top"/>
    </xf>
    <xf numFmtId="1" fontId="0" fillId="0" borderId="15" xfId="0" applyNumberFormat="1" applyBorder="1" applyAlignment="1">
      <alignment horizontal="left" vertical="top"/>
    </xf>
    <xf numFmtId="0" fontId="3" fillId="9" borderId="20" xfId="0" applyFont="1" applyFill="1" applyBorder="1" applyAlignment="1">
      <alignment horizontal="center" vertical="top"/>
    </xf>
    <xf numFmtId="0" fontId="3" fillId="9" borderId="21" xfId="0" applyFont="1" applyFill="1" applyBorder="1" applyAlignment="1">
      <alignment horizontal="center" vertical="top"/>
    </xf>
    <xf numFmtId="0" fontId="3" fillId="9" borderId="26" xfId="0" applyFont="1" applyFill="1" applyBorder="1" applyAlignment="1">
      <alignment horizontal="center" vertical="top"/>
    </xf>
    <xf numFmtId="0" fontId="4" fillId="0" borderId="22" xfId="0" applyFont="1" applyBorder="1" applyAlignment="1">
      <alignment horizontal="right" vertical="top" wrapText="1"/>
    </xf>
    <xf numFmtId="0" fontId="4" fillId="0" borderId="2" xfId="0" applyFont="1" applyBorder="1" applyAlignment="1">
      <alignment vertical="top" wrapText="1"/>
    </xf>
    <xf numFmtId="0" fontId="0" fillId="0" borderId="2" xfId="0" applyBorder="1" applyAlignment="1">
      <alignment horizontal="left" vertical="top"/>
    </xf>
    <xf numFmtId="0" fontId="3" fillId="2" borderId="69" xfId="0" applyFont="1" applyFill="1" applyBorder="1" applyAlignment="1">
      <alignment horizontal="left" vertical="top" wrapText="1"/>
    </xf>
    <xf numFmtId="0" fontId="3" fillId="2" borderId="21" xfId="0" applyFont="1" applyFill="1" applyBorder="1" applyAlignment="1">
      <alignment horizontal="left" vertical="top" wrapText="1"/>
    </xf>
    <xf numFmtId="0" fontId="3" fillId="2" borderId="53" xfId="0" applyFont="1" applyFill="1" applyBorder="1" applyAlignment="1">
      <alignment horizontal="left" vertical="top" wrapText="1"/>
    </xf>
    <xf numFmtId="0" fontId="4" fillId="4" borderId="61" xfId="0" applyFont="1" applyFill="1" applyBorder="1" applyAlignment="1">
      <alignment horizontal="left" vertical="top" wrapText="1"/>
    </xf>
    <xf numFmtId="0" fontId="4" fillId="4" borderId="78" xfId="0" applyFont="1" applyFill="1" applyBorder="1" applyAlignment="1">
      <alignment horizontal="left" vertical="top" wrapText="1"/>
    </xf>
    <xf numFmtId="0" fontId="4" fillId="4" borderId="79" xfId="0" applyFont="1" applyFill="1" applyBorder="1" applyAlignment="1">
      <alignment horizontal="left" vertical="top" wrapText="1"/>
    </xf>
    <xf numFmtId="0" fontId="4" fillId="4" borderId="30" xfId="0" applyFont="1" applyFill="1" applyBorder="1" applyAlignment="1">
      <alignment horizontal="left" vertical="top" wrapText="1"/>
    </xf>
    <xf numFmtId="0" fontId="4" fillId="4" borderId="41" xfId="0" applyFont="1" applyFill="1" applyBorder="1" applyAlignment="1">
      <alignment horizontal="left" vertical="top" wrapText="1"/>
    </xf>
    <xf numFmtId="0" fontId="4" fillId="4" borderId="15" xfId="0" applyFont="1" applyFill="1" applyBorder="1" applyAlignment="1">
      <alignment horizontal="left" vertical="top" wrapText="1"/>
    </xf>
    <xf numFmtId="0" fontId="3" fillId="6" borderId="20" xfId="0" applyFont="1" applyFill="1" applyBorder="1" applyAlignment="1">
      <alignment horizontal="center" vertical="top"/>
    </xf>
    <xf numFmtId="0" fontId="3" fillId="6" borderId="21" xfId="0" applyFont="1" applyFill="1" applyBorder="1" applyAlignment="1">
      <alignment horizontal="center" vertical="top"/>
    </xf>
    <xf numFmtId="0" fontId="3" fillId="6" borderId="26" xfId="0" applyFont="1" applyFill="1" applyBorder="1" applyAlignment="1">
      <alignment horizontal="center" vertical="top"/>
    </xf>
    <xf numFmtId="0" fontId="3" fillId="2" borderId="48" xfId="0" applyFont="1" applyFill="1" applyBorder="1" applyAlignment="1">
      <alignment horizontal="left" vertical="top" wrapText="1"/>
    </xf>
    <xf numFmtId="0" fontId="3" fillId="2" borderId="11" xfId="0" applyFont="1" applyFill="1" applyBorder="1" applyAlignment="1">
      <alignment horizontal="left" vertical="top" wrapText="1"/>
    </xf>
    <xf numFmtId="0" fontId="4" fillId="4" borderId="33" xfId="0" applyFont="1" applyFill="1" applyBorder="1" applyAlignment="1">
      <alignment horizontal="left" vertical="top" wrapText="1"/>
    </xf>
    <xf numFmtId="0" fontId="4" fillId="4" borderId="59" xfId="0" applyFont="1" applyFill="1" applyBorder="1" applyAlignment="1">
      <alignment horizontal="left" vertical="top" wrapText="1"/>
    </xf>
    <xf numFmtId="0" fontId="4" fillId="4" borderId="81" xfId="0" applyFont="1" applyFill="1" applyBorder="1" applyAlignment="1">
      <alignment horizontal="left" vertical="top" wrapText="1"/>
    </xf>
    <xf numFmtId="0" fontId="0" fillId="0" borderId="39" xfId="0" applyBorder="1" applyAlignment="1">
      <alignment horizontal="left" vertical="top" wrapText="1"/>
    </xf>
    <xf numFmtId="0" fontId="0" fillId="0" borderId="44" xfId="0" applyBorder="1" applyAlignment="1">
      <alignment horizontal="left" vertical="top" wrapText="1"/>
    </xf>
    <xf numFmtId="0" fontId="0" fillId="0" borderId="42" xfId="0" applyBorder="1" applyAlignment="1">
      <alignment horizontal="left" vertical="top" wrapText="1"/>
    </xf>
    <xf numFmtId="0" fontId="3" fillId="6" borderId="2" xfId="0" applyFont="1" applyFill="1" applyBorder="1" applyAlignment="1">
      <alignment horizontal="center" vertical="top"/>
    </xf>
    <xf numFmtId="0" fontId="0" fillId="0" borderId="47" xfId="0" applyBorder="1" applyAlignment="1">
      <alignment horizontal="left" vertical="top" wrapText="1"/>
    </xf>
    <xf numFmtId="0" fontId="0" fillId="0" borderId="46" xfId="0" applyBorder="1" applyAlignment="1">
      <alignment horizontal="left" vertical="top" wrapText="1"/>
    </xf>
    <xf numFmtId="0" fontId="21" fillId="0" borderId="2" xfId="0" applyFont="1" applyBorder="1" applyAlignment="1">
      <alignment horizontal="left" vertical="top" wrapText="1"/>
    </xf>
    <xf numFmtId="0" fontId="23" fillId="0" borderId="2" xfId="0" applyFont="1" applyBorder="1" applyAlignment="1">
      <alignment horizontal="left" vertical="top" wrapText="1"/>
    </xf>
    <xf numFmtId="0" fontId="20" fillId="0" borderId="2" xfId="0" applyFont="1" applyBorder="1" applyAlignment="1">
      <alignment horizontal="left" vertical="top" wrapText="1"/>
    </xf>
    <xf numFmtId="0" fontId="45" fillId="0" borderId="77" xfId="0" applyFont="1" applyBorder="1" applyAlignment="1" applyProtection="1">
      <alignment horizontal="center" wrapText="1"/>
    </xf>
    <xf numFmtId="0" fontId="45" fillId="0" borderId="73" xfId="0" applyFont="1" applyBorder="1" applyAlignment="1" applyProtection="1">
      <alignment horizontal="center" wrapText="1"/>
    </xf>
    <xf numFmtId="0" fontId="45" fillId="0" borderId="74" xfId="0" applyFont="1" applyBorder="1" applyAlignment="1" applyProtection="1">
      <alignment horizontal="center" wrapText="1"/>
    </xf>
    <xf numFmtId="0" fontId="45" fillId="0" borderId="12" xfId="0" applyFont="1" applyBorder="1" applyAlignment="1" applyProtection="1">
      <alignment horizontal="center" wrapText="1"/>
    </xf>
    <xf numFmtId="0" fontId="45" fillId="0" borderId="2" xfId="0" applyFont="1" applyBorder="1" applyAlignment="1" applyProtection="1">
      <alignment horizontal="center" vertical="center" wrapText="1"/>
    </xf>
    <xf numFmtId="0" fontId="45" fillId="0" borderId="2" xfId="0" applyFont="1" applyBorder="1" applyAlignment="1" applyProtection="1">
      <alignment horizontal="center" textRotation="90" wrapText="1"/>
    </xf>
    <xf numFmtId="0" fontId="45" fillId="20" borderId="2" xfId="0" applyFont="1" applyFill="1" applyBorder="1" applyAlignment="1" applyProtection="1">
      <alignment horizontal="center" wrapText="1"/>
    </xf>
    <xf numFmtId="0" fontId="45" fillId="4" borderId="2" xfId="0" applyFont="1" applyFill="1" applyBorder="1" applyAlignment="1" applyProtection="1">
      <alignment horizontal="center" wrapText="1"/>
    </xf>
    <xf numFmtId="1" fontId="45" fillId="4" borderId="2" xfId="0" applyNumberFormat="1" applyFont="1" applyFill="1" applyBorder="1" applyAlignment="1" applyProtection="1">
      <alignment horizontal="center"/>
    </xf>
    <xf numFmtId="1" fontId="45" fillId="10" borderId="2" xfId="0" applyNumberFormat="1" applyFont="1" applyFill="1" applyBorder="1" applyAlignment="1" applyProtection="1">
      <alignment horizontal="center" wrapText="1"/>
    </xf>
    <xf numFmtId="0" fontId="45" fillId="10" borderId="2" xfId="0" applyFont="1" applyFill="1" applyBorder="1" applyAlignment="1" applyProtection="1">
      <alignment horizontal="center" wrapText="1"/>
    </xf>
    <xf numFmtId="0" fontId="45" fillId="4" borderId="2" xfId="0" applyNumberFormat="1" applyFont="1" applyFill="1" applyBorder="1" applyAlignment="1" applyProtection="1">
      <alignment horizontal="center"/>
    </xf>
    <xf numFmtId="0" fontId="8" fillId="10" borderId="83" xfId="0" applyFont="1" applyFill="1" applyBorder="1" applyAlignment="1">
      <alignment horizontal="center" vertical="center" wrapText="1"/>
    </xf>
    <xf numFmtId="0" fontId="8" fillId="10" borderId="74" xfId="0" applyFont="1" applyFill="1" applyBorder="1" applyAlignment="1">
      <alignment horizontal="center" vertical="center" wrapText="1"/>
    </xf>
    <xf numFmtId="0" fontId="8" fillId="10" borderId="12"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15" xfId="0" applyFont="1" applyFill="1" applyBorder="1" applyAlignment="1">
      <alignment horizontal="center" vertical="center" wrapText="1"/>
    </xf>
  </cellXfs>
  <cellStyles count="3">
    <cellStyle name="Hyperlink" xfId="1" builtinId="8"/>
    <cellStyle name="Normal_Sheet1" xfId="2" xr:uid="{00000000-0005-0000-0000-000001000000}"/>
    <cellStyle name="Standaard" xfId="0" builtinId="0"/>
  </cellStyles>
  <dxfs count="40">
    <dxf>
      <fill>
        <patternFill>
          <bgColor indexed="14"/>
        </patternFill>
      </fill>
    </dxf>
    <dxf>
      <fill>
        <patternFill>
          <bgColor indexed="50"/>
        </patternFill>
      </fill>
    </dxf>
    <dxf>
      <fill>
        <patternFill>
          <bgColor indexed="51"/>
        </patternFill>
      </fill>
    </dxf>
    <dxf>
      <fill>
        <patternFill>
          <bgColor indexed="50"/>
        </patternFill>
      </fill>
    </dxf>
    <dxf>
      <fill>
        <patternFill>
          <bgColor indexed="41"/>
        </patternFill>
      </fill>
    </dxf>
    <dxf>
      <fill>
        <patternFill>
          <bgColor indexed="45"/>
        </patternFill>
      </fill>
    </dxf>
    <dxf>
      <fill>
        <patternFill>
          <bgColor indexed="50"/>
        </patternFill>
      </fill>
    </dxf>
    <dxf>
      <fill>
        <patternFill>
          <bgColor indexed="50"/>
        </patternFill>
      </fill>
    </dxf>
    <dxf>
      <fill>
        <patternFill>
          <bgColor indexed="50"/>
        </patternFill>
      </fill>
    </dxf>
    <dxf>
      <fill>
        <patternFill>
          <bgColor indexed="45"/>
        </patternFill>
      </fill>
    </dxf>
    <dxf>
      <fill>
        <patternFill>
          <bgColor indexed="50"/>
        </patternFill>
      </fill>
    </dxf>
    <dxf>
      <fill>
        <patternFill>
          <bgColor indexed="45"/>
        </patternFill>
      </fill>
    </dxf>
    <dxf>
      <fill>
        <patternFill>
          <bgColor indexed="50"/>
        </patternFill>
      </fill>
    </dxf>
    <dxf>
      <fill>
        <patternFill>
          <bgColor indexed="51"/>
        </patternFill>
      </fill>
    </dxf>
    <dxf>
      <fill>
        <patternFill>
          <bgColor indexed="50"/>
        </patternFill>
      </fill>
    </dxf>
    <dxf>
      <fill>
        <patternFill>
          <bgColor indexed="45"/>
        </patternFill>
      </fill>
    </dxf>
    <dxf>
      <fill>
        <patternFill>
          <bgColor indexed="50"/>
        </patternFill>
      </fill>
    </dxf>
    <dxf>
      <fill>
        <patternFill>
          <bgColor indexed="50"/>
        </patternFill>
      </fill>
    </dxf>
    <dxf>
      <fill>
        <patternFill>
          <bgColor indexed="41"/>
        </patternFill>
      </fill>
    </dxf>
    <dxf>
      <fill>
        <patternFill>
          <bgColor indexed="50"/>
        </patternFill>
      </fill>
    </dxf>
    <dxf>
      <fill>
        <patternFill>
          <bgColor indexed="50"/>
        </patternFill>
      </fill>
    </dxf>
    <dxf>
      <fill>
        <patternFill>
          <bgColor indexed="41"/>
        </patternFill>
      </fill>
    </dxf>
    <dxf>
      <fill>
        <patternFill>
          <bgColor indexed="45"/>
        </patternFill>
      </fill>
    </dxf>
    <dxf>
      <fill>
        <patternFill>
          <bgColor indexed="50"/>
        </patternFill>
      </fill>
    </dxf>
    <dxf>
      <fill>
        <patternFill>
          <bgColor indexed="45"/>
        </patternFill>
      </fill>
    </dxf>
    <dxf>
      <fill>
        <patternFill>
          <bgColor indexed="50"/>
        </patternFill>
      </fill>
    </dxf>
    <dxf>
      <fill>
        <patternFill>
          <bgColor indexed="50"/>
        </patternFill>
      </fill>
    </dxf>
    <dxf>
      <fill>
        <patternFill>
          <bgColor indexed="41"/>
        </patternFill>
      </fill>
    </dxf>
    <dxf>
      <fill>
        <patternFill>
          <bgColor indexed="50"/>
        </patternFill>
      </fill>
    </dxf>
    <dxf>
      <fill>
        <patternFill>
          <bgColor indexed="50"/>
        </patternFill>
      </fill>
    </dxf>
    <dxf>
      <fill>
        <patternFill>
          <bgColor indexed="45"/>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10.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activeX/activeX6.xml><?xml version="1.0" encoding="utf-8"?>
<ax:ocx xmlns:ax="http://schemas.microsoft.com/office/2006/activeX" xmlns:r="http://schemas.openxmlformats.org/officeDocument/2006/relationships" ax:classid="{D7053240-CE69-11CD-A777-00DD01143C57}" ax:persistence="persistStreamInit" r:id="rId1"/>
</file>

<file path=xl/activeX/activeX7.xml><?xml version="1.0" encoding="utf-8"?>
<ax:ocx xmlns:ax="http://schemas.microsoft.com/office/2006/activeX" xmlns:r="http://schemas.openxmlformats.org/officeDocument/2006/relationships" ax:classid="{D7053240-CE69-11CD-A777-00DD01143C57}" ax:persistence="persistStreamInit" r:id="rId1"/>
</file>

<file path=xl/activeX/activeX8.xml><?xml version="1.0" encoding="utf-8"?>
<ax:ocx xmlns:ax="http://schemas.microsoft.com/office/2006/activeX" xmlns:r="http://schemas.openxmlformats.org/officeDocument/2006/relationships" ax:classid="{D7053240-CE69-11CD-A777-00DD01143C57}" ax:persistence="persistStreamInit" r:id="rId1"/>
</file>

<file path=xl/activeX/activeX9.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7.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7.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9.png"/><Relationship Id="rId1" Type="http://schemas.openxmlformats.org/officeDocument/2006/relationships/image" Target="../media/image17.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9.png"/></Relationships>
</file>

<file path=xl/drawings/_rels/drawing6.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9.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13.emf"/><Relationship Id="rId1" Type="http://schemas.openxmlformats.org/officeDocument/2006/relationships/image" Target="../media/image14.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6.emf"/></Relationships>
</file>

<file path=xl/drawings/drawing1.xml><?xml version="1.0" encoding="utf-8"?>
<xdr:wsDr xmlns:xdr="http://schemas.openxmlformats.org/drawingml/2006/spreadsheetDrawing" xmlns:a="http://schemas.openxmlformats.org/drawingml/2006/main">
  <xdr:twoCellAnchor>
    <xdr:from>
      <xdr:col>2</xdr:col>
      <xdr:colOff>1628775</xdr:colOff>
      <xdr:row>5</xdr:row>
      <xdr:rowOff>200025</xdr:rowOff>
    </xdr:from>
    <xdr:to>
      <xdr:col>2</xdr:col>
      <xdr:colOff>2419350</xdr:colOff>
      <xdr:row>5</xdr:row>
      <xdr:rowOff>876300</xdr:rowOff>
    </xdr:to>
    <xdr:pic>
      <xdr:nvPicPr>
        <xdr:cNvPr id="36879" name="Afbeelding 1">
          <a:extLst>
            <a:ext uri="{FF2B5EF4-FFF2-40B4-BE49-F238E27FC236}">
              <a16:creationId xmlns:a16="http://schemas.microsoft.com/office/drawing/2014/main" id="{00000000-0008-0000-0000-00000F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95636" b="93317"/>
        <a:stretch>
          <a:fillRect/>
        </a:stretch>
      </xdr:blipFill>
      <xdr:spPr bwMode="auto">
        <a:xfrm>
          <a:off x="7505700" y="5915025"/>
          <a:ext cx="7905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1</xdr:col>
      <xdr:colOff>2247900</xdr:colOff>
      <xdr:row>4</xdr:row>
      <xdr:rowOff>361950</xdr:rowOff>
    </xdr:from>
    <xdr:to>
      <xdr:col>2</xdr:col>
      <xdr:colOff>333375</xdr:colOff>
      <xdr:row>4</xdr:row>
      <xdr:rowOff>1543050</xdr:rowOff>
    </xdr:to>
    <xdr:grpSp>
      <xdr:nvGrpSpPr>
        <xdr:cNvPr id="36880" name="Group 2">
          <a:extLst>
            <a:ext uri="{FF2B5EF4-FFF2-40B4-BE49-F238E27FC236}">
              <a16:creationId xmlns:a16="http://schemas.microsoft.com/office/drawing/2014/main" id="{00000000-0008-0000-0000-000010900000}"/>
            </a:ext>
          </a:extLst>
        </xdr:cNvPr>
        <xdr:cNvGrpSpPr>
          <a:grpSpLocks/>
        </xdr:cNvGrpSpPr>
      </xdr:nvGrpSpPr>
      <xdr:grpSpPr bwMode="auto">
        <a:xfrm>
          <a:off x="2636371" y="3118597"/>
          <a:ext cx="3852769" cy="1181100"/>
          <a:chOff x="107825775" y="106182150"/>
          <a:chExt cx="2268000" cy="504000"/>
        </a:xfrm>
      </xdr:grpSpPr>
      <xdr:pic>
        <xdr:nvPicPr>
          <xdr:cNvPr id="36884" name="Afbeelding 1">
            <a:extLst>
              <a:ext uri="{FF2B5EF4-FFF2-40B4-BE49-F238E27FC236}">
                <a16:creationId xmlns:a16="http://schemas.microsoft.com/office/drawing/2014/main" id="{00000000-0008-0000-0000-000014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924" r="61034" b="70480"/>
          <a:stretch>
            <a:fillRect/>
          </a:stretch>
        </xdr:blipFill>
        <xdr:spPr bwMode="auto">
          <a:xfrm>
            <a:off x="107843775" y="106182150"/>
            <a:ext cx="2250000" cy="5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sp macro="" textlink="">
        <xdr:nvSpPr>
          <xdr:cNvPr id="36885" name="Rectangle 4">
            <a:extLst>
              <a:ext uri="{FF2B5EF4-FFF2-40B4-BE49-F238E27FC236}">
                <a16:creationId xmlns:a16="http://schemas.microsoft.com/office/drawing/2014/main" id="{00000000-0008-0000-0000-000015900000}"/>
              </a:ext>
            </a:extLst>
          </xdr:cNvPr>
          <xdr:cNvSpPr>
            <a:spLocks noChangeArrowheads="1"/>
          </xdr:cNvSpPr>
        </xdr:nvSpPr>
        <xdr:spPr bwMode="auto">
          <a:xfrm>
            <a:off x="107825775" y="106308150"/>
            <a:ext cx="2142000" cy="198000"/>
          </a:xfrm>
          <a:prstGeom prst="rect">
            <a:avLst/>
          </a:prstGeom>
          <a:noFill/>
          <a:ln w="28575" algn="in">
            <a:solidFill>
              <a:srgbClr val="000000"/>
            </a:solidFill>
            <a:miter lim="800000"/>
            <a:headEnd/>
            <a:tailEnd/>
          </a:ln>
          <a:effectLst/>
          <a:extLst>
            <a:ext uri="{909E8E84-426E-40DD-AFC4-6F175D3DCCD1}">
              <a14:hiddenFill xmlns:a14="http://schemas.microsoft.com/office/drawing/2010/main">
                <a:solidFill>
                  <a:srgbClr val="000000"/>
                </a:solidFill>
              </a14:hiddenFill>
            </a:ext>
            <a:ext uri="{AF507438-7753-43E0-B8FC-AC1667EBCBE1}">
              <a14:hiddenEffects xmlns:a14="http://schemas.microsoft.com/office/drawing/2010/main">
                <a:effectLst>
                  <a:outerShdw dist="35921" dir="2700000" algn="ctr" rotWithShape="0">
                    <a:srgbClr val="CCCCCC"/>
                  </a:outerShdw>
                </a:effectLst>
              </a14:hiddenEffects>
            </a:ext>
          </a:extLst>
        </xdr:spPr>
      </xdr:sp>
    </xdr:grpSp>
    <xdr:clientData/>
  </xdr:twoCellAnchor>
  <xdr:twoCellAnchor>
    <xdr:from>
      <xdr:col>2</xdr:col>
      <xdr:colOff>504825</xdr:colOff>
      <xdr:row>4</xdr:row>
      <xdr:rowOff>123825</xdr:rowOff>
    </xdr:from>
    <xdr:to>
      <xdr:col>2</xdr:col>
      <xdr:colOff>4476750</xdr:colOff>
      <xdr:row>4</xdr:row>
      <xdr:rowOff>2857500</xdr:rowOff>
    </xdr:to>
    <xdr:grpSp>
      <xdr:nvGrpSpPr>
        <xdr:cNvPr id="36881" name="Group 5">
          <a:extLst>
            <a:ext uri="{FF2B5EF4-FFF2-40B4-BE49-F238E27FC236}">
              <a16:creationId xmlns:a16="http://schemas.microsoft.com/office/drawing/2014/main" id="{00000000-0008-0000-0000-000011900000}"/>
            </a:ext>
          </a:extLst>
        </xdr:cNvPr>
        <xdr:cNvGrpSpPr>
          <a:grpSpLocks/>
        </xdr:cNvGrpSpPr>
      </xdr:nvGrpSpPr>
      <xdr:grpSpPr bwMode="auto">
        <a:xfrm>
          <a:off x="6660590" y="2880472"/>
          <a:ext cx="3971925" cy="2733675"/>
          <a:chOff x="107771775" y="107424150"/>
          <a:chExt cx="2358000" cy="1721112"/>
        </a:xfrm>
      </xdr:grpSpPr>
      <xdr:pic>
        <xdr:nvPicPr>
          <xdr:cNvPr id="36882" name="Afbeelding 4">
            <a:extLst>
              <a:ext uri="{FF2B5EF4-FFF2-40B4-BE49-F238E27FC236}">
                <a16:creationId xmlns:a16="http://schemas.microsoft.com/office/drawing/2014/main" id="{00000000-0008-0000-0000-0000129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5763" t="13461" r="22720" b="19667"/>
          <a:stretch>
            <a:fillRect/>
          </a:stretch>
        </xdr:blipFill>
        <xdr:spPr bwMode="auto">
          <a:xfrm>
            <a:off x="107771775" y="107424150"/>
            <a:ext cx="2358000" cy="1721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pic>
        <xdr:nvPicPr>
          <xdr:cNvPr id="36883" name="Afbeelding 4">
            <a:extLst>
              <a:ext uri="{FF2B5EF4-FFF2-40B4-BE49-F238E27FC236}">
                <a16:creationId xmlns:a16="http://schemas.microsoft.com/office/drawing/2014/main" id="{00000000-0008-0000-0000-0000139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30630" t="49532" r="45030" b="43254"/>
          <a:stretch>
            <a:fillRect/>
          </a:stretch>
        </xdr:blipFill>
        <xdr:spPr bwMode="auto">
          <a:xfrm>
            <a:off x="108041775" y="108540150"/>
            <a:ext cx="2070000" cy="34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grp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66675</xdr:colOff>
      <xdr:row>0</xdr:row>
      <xdr:rowOff>47625</xdr:rowOff>
    </xdr:from>
    <xdr:to>
      <xdr:col>1</xdr:col>
      <xdr:colOff>266700</xdr:colOff>
      <xdr:row>3</xdr:row>
      <xdr:rowOff>47625</xdr:rowOff>
    </xdr:to>
    <xdr:pic>
      <xdr:nvPicPr>
        <xdr:cNvPr id="23562" name="Picture 8" descr="hoofding FOD heel klein">
          <a:extLst>
            <a:ext uri="{FF2B5EF4-FFF2-40B4-BE49-F238E27FC236}">
              <a16:creationId xmlns:a16="http://schemas.microsoft.com/office/drawing/2014/main" id="{00000000-0008-0000-1000-00000A5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7625"/>
          <a:ext cx="13716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0</xdr:col>
      <xdr:colOff>1438275</xdr:colOff>
      <xdr:row>3</xdr:row>
      <xdr:rowOff>114300</xdr:rowOff>
    </xdr:to>
    <xdr:pic>
      <xdr:nvPicPr>
        <xdr:cNvPr id="24580" name="Picture 2" descr="hoofding FOD heel klein">
          <a:extLst>
            <a:ext uri="{FF2B5EF4-FFF2-40B4-BE49-F238E27FC236}">
              <a16:creationId xmlns:a16="http://schemas.microsoft.com/office/drawing/2014/main" id="{00000000-0008-0000-1100-0000046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114300"/>
          <a:ext cx="13716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628650</xdr:colOff>
      <xdr:row>3</xdr:row>
      <xdr:rowOff>28575</xdr:rowOff>
    </xdr:to>
    <xdr:pic>
      <xdr:nvPicPr>
        <xdr:cNvPr id="20486" name="Picture 2" descr="hoofding FOD heel klein">
          <a:extLst>
            <a:ext uri="{FF2B5EF4-FFF2-40B4-BE49-F238E27FC236}">
              <a16:creationId xmlns:a16="http://schemas.microsoft.com/office/drawing/2014/main" id="{00000000-0008-0000-1500-000006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3716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238125</xdr:colOff>
      <xdr:row>52</xdr:row>
      <xdr:rowOff>85725</xdr:rowOff>
    </xdr:from>
    <xdr:to>
      <xdr:col>2</xdr:col>
      <xdr:colOff>657225</xdr:colOff>
      <xdr:row>54</xdr:row>
      <xdr:rowOff>114300</xdr:rowOff>
    </xdr:to>
    <xdr:pic>
      <xdr:nvPicPr>
        <xdr:cNvPr id="20487" name="Picture 3" descr="BE">
          <a:extLst>
            <a:ext uri="{FF2B5EF4-FFF2-40B4-BE49-F238E27FC236}">
              <a16:creationId xmlns:a16="http://schemas.microsoft.com/office/drawing/2014/main" id="{00000000-0008-0000-1500-0000075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57900" y="10906125"/>
          <a:ext cx="4191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3133725</xdr:colOff>
      <xdr:row>50</xdr:row>
      <xdr:rowOff>85725</xdr:rowOff>
    </xdr:from>
    <xdr:to>
      <xdr:col>2</xdr:col>
      <xdr:colOff>3552825</xdr:colOff>
      <xdr:row>52</xdr:row>
      <xdr:rowOff>66675</xdr:rowOff>
    </xdr:to>
    <xdr:pic>
      <xdr:nvPicPr>
        <xdr:cNvPr id="21511" name="Picture 5" descr="BE">
          <a:extLst>
            <a:ext uri="{FF2B5EF4-FFF2-40B4-BE49-F238E27FC236}">
              <a16:creationId xmlns:a16="http://schemas.microsoft.com/office/drawing/2014/main" id="{00000000-0008-0000-1600-0000075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34225" y="10782300"/>
          <a:ext cx="4191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69850</xdr:colOff>
          <xdr:row>65</xdr:row>
          <xdr:rowOff>0</xdr:rowOff>
        </xdr:from>
        <xdr:to>
          <xdr:col>10</xdr:col>
          <xdr:colOff>374650</xdr:colOff>
          <xdr:row>67</xdr:row>
          <xdr:rowOff>19050</xdr:rowOff>
        </xdr:to>
        <xdr:sp macro="" textlink="">
          <xdr:nvSpPr>
            <xdr:cNvPr id="11352" name="CommandButton1" hidden="1">
              <a:extLst>
                <a:ext uri="{63B3BB69-23CF-44E3-9099-C40C66FF867C}">
                  <a14:compatExt spid="_x0000_s11352"/>
                </a:ext>
                <a:ext uri="{FF2B5EF4-FFF2-40B4-BE49-F238E27FC236}">
                  <a16:creationId xmlns:a16="http://schemas.microsoft.com/office/drawing/2014/main" id="{00000000-0008-0000-0100-0000582C0000}"/>
                </a:ext>
              </a:extLst>
            </xdr:cNvPr>
            <xdr:cNvSpPr/>
          </xdr:nvSpPr>
          <xdr:spPr bwMode="auto">
            <a:xfrm>
              <a:off x="0" y="0"/>
              <a:ext cx="0" cy="0"/>
            </a:xfrm>
            <a:prstGeom prst="rect">
              <a:avLst/>
            </a:prstGeom>
            <a:noFill/>
            <a:ln>
              <a:noFill/>
            </a:ln>
            <a:effectLst>
              <a:outerShdw dist="35921" dir="2700000" algn="ctr" rotWithShape="0">
                <a:srgbClr val="000000"/>
              </a:outerShdw>
            </a:effectLst>
            <a:extLst>
              <a:ext uri="{91240B29-F687-4F45-9708-019B960494DF}">
                <a14:hiddenLine w="9525">
                  <a:noFill/>
                  <a:miter lim="800000"/>
                  <a:headEnd/>
                  <a:tailEnd/>
                </a14:hiddenLine>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11</xdr:row>
          <xdr:rowOff>88900</xdr:rowOff>
        </xdr:from>
        <xdr:to>
          <xdr:col>4</xdr:col>
          <xdr:colOff>584200</xdr:colOff>
          <xdr:row>14</xdr:row>
          <xdr:rowOff>95250</xdr:rowOff>
        </xdr:to>
        <xdr:sp macro="" textlink="">
          <xdr:nvSpPr>
            <xdr:cNvPr id="15380" name="CommandButton1" hidden="1">
              <a:extLst>
                <a:ext uri="{63B3BB69-23CF-44E3-9099-C40C66FF867C}">
                  <a14:compatExt spid="_x0000_s15380"/>
                </a:ext>
                <a:ext uri="{FF2B5EF4-FFF2-40B4-BE49-F238E27FC236}">
                  <a16:creationId xmlns:a16="http://schemas.microsoft.com/office/drawing/2014/main" id="{00000000-0008-0000-0200-0000143C0000}"/>
                </a:ext>
              </a:extLst>
            </xdr:cNvPr>
            <xdr:cNvSpPr/>
          </xdr:nvSpPr>
          <xdr:spPr bwMode="auto">
            <a:xfrm>
              <a:off x="0" y="0"/>
              <a:ext cx="0" cy="0"/>
            </a:xfrm>
            <a:prstGeom prst="rect">
              <a:avLst/>
            </a:prstGeom>
            <a:noFill/>
            <a:ln>
              <a:noFill/>
            </a:ln>
            <a:effectLst>
              <a:outerShdw dist="35921" dir="2700000" algn="ctr" rotWithShape="0">
                <a:srgbClr val="000000"/>
              </a:outerShdw>
            </a:effectLst>
            <a:extLst>
              <a:ext uri="{91240B29-F687-4F45-9708-019B960494DF}">
                <a14:hiddenLine w="9525">
                  <a:noFill/>
                  <a:miter lim="800000"/>
                  <a:headEnd/>
                  <a:tailEnd/>
                </a14:hiddenLine>
              </a:ext>
              <a:ext uri="{53640926-AAD7-44D8-BBD7-CCE9431645EC}">
                <a14:shadowObscured val="1"/>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127000</xdr:colOff>
          <xdr:row>27</xdr:row>
          <xdr:rowOff>31750</xdr:rowOff>
        </xdr:from>
        <xdr:to>
          <xdr:col>11</xdr:col>
          <xdr:colOff>1314450</xdr:colOff>
          <xdr:row>32</xdr:row>
          <xdr:rowOff>0</xdr:rowOff>
        </xdr:to>
        <xdr:sp macro="" textlink="">
          <xdr:nvSpPr>
            <xdr:cNvPr id="16406" name="CommandButton2" hidden="1">
              <a:extLst>
                <a:ext uri="{63B3BB69-23CF-44E3-9099-C40C66FF867C}">
                  <a14:compatExt spid="_x0000_s16406"/>
                </a:ext>
                <a:ext uri="{FF2B5EF4-FFF2-40B4-BE49-F238E27FC236}">
                  <a16:creationId xmlns:a16="http://schemas.microsoft.com/office/drawing/2014/main" id="{00000000-0008-0000-0300-000016400000}"/>
                </a:ext>
              </a:extLst>
            </xdr:cNvPr>
            <xdr:cNvSpPr/>
          </xdr:nvSpPr>
          <xdr:spPr bwMode="auto">
            <a:xfrm>
              <a:off x="0" y="0"/>
              <a:ext cx="0" cy="0"/>
            </a:xfrm>
            <a:prstGeom prst="rect">
              <a:avLst/>
            </a:prstGeom>
            <a:noFill/>
            <a:ln>
              <a:noFill/>
            </a:ln>
            <a:effectLst>
              <a:outerShdw dist="35921" dir="2700000" algn="ctr" rotWithShape="0">
                <a:srgbClr val="000000"/>
              </a:outerShdw>
            </a:effectLst>
            <a:extLst>
              <a:ext uri="{91240B29-F687-4F45-9708-019B960494DF}">
                <a14:hiddenLine w="1">
                  <a:noFill/>
                  <a:miter lim="800000"/>
                  <a:headEnd/>
                  <a:tailEnd/>
                </a14:hiddenLine>
              </a:ext>
              <a:ext uri="{53640926-AAD7-44D8-BBD7-CCE9431645EC}">
                <a14:shadowObscured val="1"/>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241300</xdr:colOff>
          <xdr:row>106</xdr:row>
          <xdr:rowOff>50800</xdr:rowOff>
        </xdr:from>
        <xdr:to>
          <xdr:col>6</xdr:col>
          <xdr:colOff>628650</xdr:colOff>
          <xdr:row>110</xdr:row>
          <xdr:rowOff>127000</xdr:rowOff>
        </xdr:to>
        <xdr:sp macro="" textlink="">
          <xdr:nvSpPr>
            <xdr:cNvPr id="14473" name="CommandButton1" hidden="1">
              <a:extLst>
                <a:ext uri="{63B3BB69-23CF-44E3-9099-C40C66FF867C}">
                  <a14:compatExt spid="_x0000_s14473"/>
                </a:ext>
                <a:ext uri="{FF2B5EF4-FFF2-40B4-BE49-F238E27FC236}">
                  <a16:creationId xmlns:a16="http://schemas.microsoft.com/office/drawing/2014/main" id="{00000000-0008-0000-0400-000089380000}"/>
                </a:ext>
              </a:extLst>
            </xdr:cNvPr>
            <xdr:cNvSpPr/>
          </xdr:nvSpPr>
          <xdr:spPr bwMode="auto">
            <a:xfrm>
              <a:off x="0" y="0"/>
              <a:ext cx="0" cy="0"/>
            </a:xfrm>
            <a:prstGeom prst="rect">
              <a:avLst/>
            </a:prstGeom>
            <a:noFill/>
            <a:ln>
              <a:noFill/>
            </a:ln>
            <a:effectLst>
              <a:outerShdw dist="35921" dir="2700000" algn="ctr" rotWithShape="0">
                <a:srgbClr val="000000"/>
              </a:outerShdw>
            </a:effectLst>
            <a:extLst>
              <a:ext uri="{91240B29-F687-4F45-9708-019B960494DF}">
                <a14:hiddenLine w="9525">
                  <a:no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279400</xdr:colOff>
          <xdr:row>112</xdr:row>
          <xdr:rowOff>88900</xdr:rowOff>
        </xdr:from>
        <xdr:to>
          <xdr:col>6</xdr:col>
          <xdr:colOff>679450</xdr:colOff>
          <xdr:row>117</xdr:row>
          <xdr:rowOff>31750</xdr:rowOff>
        </xdr:to>
        <xdr:sp macro="" textlink="">
          <xdr:nvSpPr>
            <xdr:cNvPr id="14549" name="CommandButton2" hidden="1">
              <a:extLst>
                <a:ext uri="{63B3BB69-23CF-44E3-9099-C40C66FF867C}">
                  <a14:compatExt spid="_x0000_s14549"/>
                </a:ext>
                <a:ext uri="{FF2B5EF4-FFF2-40B4-BE49-F238E27FC236}">
                  <a16:creationId xmlns:a16="http://schemas.microsoft.com/office/drawing/2014/main" id="{00000000-0008-0000-0400-0000D5380000}"/>
                </a:ext>
              </a:extLst>
            </xdr:cNvPr>
            <xdr:cNvSpPr/>
          </xdr:nvSpPr>
          <xdr:spPr bwMode="auto">
            <a:xfrm>
              <a:off x="0" y="0"/>
              <a:ext cx="0" cy="0"/>
            </a:xfrm>
            <a:prstGeom prst="rect">
              <a:avLst/>
            </a:prstGeom>
            <a:noFill/>
            <a:ln>
              <a:noFill/>
            </a:ln>
            <a:effectLst>
              <a:outerShdw dist="35921" dir="2700000" algn="ctr" rotWithShape="0">
                <a:srgbClr val="000000"/>
              </a:outerShdw>
            </a:effectLst>
            <a:extLst>
              <a:ext uri="{91240B29-F687-4F45-9708-019B960494DF}">
                <a14:hiddenLine w="9525">
                  <a:noFill/>
                  <a:miter lim="800000"/>
                  <a:headEnd/>
                  <a:tailEnd/>
                </a14:hiddenLine>
              </a:ext>
              <a:ext uri="{53640926-AAD7-44D8-BBD7-CCE9431645EC}">
                <a14:shadowObscured val="1"/>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28575</xdr:rowOff>
    </xdr:from>
    <xdr:to>
      <xdr:col>3</xdr:col>
      <xdr:colOff>257175</xdr:colOff>
      <xdr:row>35</xdr:row>
      <xdr:rowOff>133350</xdr:rowOff>
    </xdr:to>
    <xdr:pic>
      <xdr:nvPicPr>
        <xdr:cNvPr id="25605" name="Picture 1" descr="mobiele toiletten">
          <a:extLst>
            <a:ext uri="{FF2B5EF4-FFF2-40B4-BE49-F238E27FC236}">
              <a16:creationId xmlns:a16="http://schemas.microsoft.com/office/drawing/2014/main" id="{00000000-0008-0000-0800-000005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2475"/>
          <a:ext cx="4086225" cy="5448300"/>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390525</xdr:colOff>
      <xdr:row>2</xdr:row>
      <xdr:rowOff>28575</xdr:rowOff>
    </xdr:from>
    <xdr:to>
      <xdr:col>6</xdr:col>
      <xdr:colOff>638175</xdr:colOff>
      <xdr:row>30</xdr:row>
      <xdr:rowOff>57150</xdr:rowOff>
    </xdr:to>
    <xdr:pic>
      <xdr:nvPicPr>
        <xdr:cNvPr id="25606" name="Picture 2" descr="plaszuilen">
          <a:extLst>
            <a:ext uri="{FF2B5EF4-FFF2-40B4-BE49-F238E27FC236}">
              <a16:creationId xmlns:a16="http://schemas.microsoft.com/office/drawing/2014/main" id="{00000000-0008-0000-0800-0000066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19575" y="752475"/>
          <a:ext cx="4076700" cy="4562475"/>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1962150</xdr:colOff>
          <xdr:row>5</xdr:row>
          <xdr:rowOff>165100</xdr:rowOff>
        </xdr:from>
        <xdr:to>
          <xdr:col>2</xdr:col>
          <xdr:colOff>4413250</xdr:colOff>
          <xdr:row>11</xdr:row>
          <xdr:rowOff>69850</xdr:rowOff>
        </xdr:to>
        <xdr:sp macro="" textlink="">
          <xdr:nvSpPr>
            <xdr:cNvPr id="33793" name="CommandButton1" hidden="1">
              <a:extLst>
                <a:ext uri="{63B3BB69-23CF-44E3-9099-C40C66FF867C}">
                  <a14:compatExt spid="_x0000_s33793"/>
                </a:ext>
                <a:ext uri="{FF2B5EF4-FFF2-40B4-BE49-F238E27FC236}">
                  <a16:creationId xmlns:a16="http://schemas.microsoft.com/office/drawing/2014/main" id="{00000000-0008-0000-0B00-000001840000}"/>
                </a:ext>
              </a:extLst>
            </xdr:cNvPr>
            <xdr:cNvSpPr/>
          </xdr:nvSpPr>
          <xdr:spPr bwMode="auto">
            <a:xfrm>
              <a:off x="0" y="0"/>
              <a:ext cx="0" cy="0"/>
            </a:xfrm>
            <a:prstGeom prst="rect">
              <a:avLst/>
            </a:prstGeom>
            <a:noFill/>
            <a:ln>
              <a:noFill/>
            </a:ln>
            <a:effectLst>
              <a:outerShdw dist="35921" dir="2700000" algn="ctr" rotWithShape="0">
                <a:srgbClr val="000000"/>
              </a:outerShdw>
            </a:effectLst>
            <a:extLst>
              <a:ext uri="{91240B29-F687-4F45-9708-019B960494DF}">
                <a14:hiddenLine w="9525">
                  <a:noFill/>
                  <a:miter lim="800000"/>
                  <a:headEnd/>
                  <a:tailEnd/>
                </a14:hiddenLine>
              </a:ext>
              <a:ext uri="{53640926-AAD7-44D8-BBD7-CCE9431645EC}">
                <a14:shadowObscured val="1"/>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1123950</xdr:colOff>
          <xdr:row>4</xdr:row>
          <xdr:rowOff>95250</xdr:rowOff>
        </xdr:from>
        <xdr:to>
          <xdr:col>1</xdr:col>
          <xdr:colOff>3308350</xdr:colOff>
          <xdr:row>4</xdr:row>
          <xdr:rowOff>755650</xdr:rowOff>
        </xdr:to>
        <xdr:sp macro="" textlink="">
          <xdr:nvSpPr>
            <xdr:cNvPr id="27650" name="CommandButton1" hidden="1">
              <a:extLst>
                <a:ext uri="{63B3BB69-23CF-44E3-9099-C40C66FF867C}">
                  <a14:compatExt spid="_x0000_s27650"/>
                </a:ext>
                <a:ext uri="{FF2B5EF4-FFF2-40B4-BE49-F238E27FC236}">
                  <a16:creationId xmlns:a16="http://schemas.microsoft.com/office/drawing/2014/main" id="{00000000-0008-0000-0C00-0000026C0000}"/>
                </a:ext>
              </a:extLst>
            </xdr:cNvPr>
            <xdr:cNvSpPr/>
          </xdr:nvSpPr>
          <xdr:spPr bwMode="auto">
            <a:xfrm>
              <a:off x="0" y="0"/>
              <a:ext cx="0" cy="0"/>
            </a:xfrm>
            <a:prstGeom prst="rect">
              <a:avLst/>
            </a:prstGeom>
            <a:noFill/>
            <a:ln>
              <a:noFill/>
            </a:ln>
            <a:effectLst>
              <a:outerShdw dist="35921" dir="2700000" algn="ctr" rotWithShape="0">
                <a:srgbClr val="000000"/>
              </a:outerShdw>
            </a:effectLst>
            <a:extLst>
              <a:ext uri="{91240B29-F687-4F45-9708-019B960494DF}">
                <a14:hiddenLine w="1">
                  <a:no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984250</xdr:colOff>
          <xdr:row>4</xdr:row>
          <xdr:rowOff>88900</xdr:rowOff>
        </xdr:from>
        <xdr:to>
          <xdr:col>2</xdr:col>
          <xdr:colOff>3162300</xdr:colOff>
          <xdr:row>4</xdr:row>
          <xdr:rowOff>742950</xdr:rowOff>
        </xdr:to>
        <xdr:sp macro="" textlink="">
          <xdr:nvSpPr>
            <xdr:cNvPr id="27651" name="CommandButton2" hidden="1">
              <a:extLst>
                <a:ext uri="{63B3BB69-23CF-44E3-9099-C40C66FF867C}">
                  <a14:compatExt spid="_x0000_s27651"/>
                </a:ext>
                <a:ext uri="{FF2B5EF4-FFF2-40B4-BE49-F238E27FC236}">
                  <a16:creationId xmlns:a16="http://schemas.microsoft.com/office/drawing/2014/main" id="{00000000-0008-0000-0C00-0000036C0000}"/>
                </a:ext>
              </a:extLst>
            </xdr:cNvPr>
            <xdr:cNvSpPr/>
          </xdr:nvSpPr>
          <xdr:spPr bwMode="auto">
            <a:xfrm>
              <a:off x="0" y="0"/>
              <a:ext cx="0" cy="0"/>
            </a:xfrm>
            <a:prstGeom prst="rect">
              <a:avLst/>
            </a:prstGeom>
            <a:noFill/>
            <a:ln>
              <a:noFill/>
            </a:ln>
            <a:effectLst>
              <a:outerShdw dist="35921" dir="2700000" algn="ctr" rotWithShape="0">
                <a:srgbClr val="000000"/>
              </a:outerShdw>
            </a:effectLst>
            <a:extLst>
              <a:ext uri="{91240B29-F687-4F45-9708-019B960494DF}">
                <a14:hiddenLine w="1">
                  <a:noFill/>
                  <a:miter lim="800000"/>
                  <a:headEnd/>
                  <a:tailEnd/>
                </a14:hiddenLine>
              </a:ext>
              <a:ext uri="{53640926-AAD7-44D8-BBD7-CCE9431645EC}">
                <a14:shadowObscured val="1"/>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812800</xdr:colOff>
          <xdr:row>4</xdr:row>
          <xdr:rowOff>57150</xdr:rowOff>
        </xdr:from>
        <xdr:to>
          <xdr:col>1</xdr:col>
          <xdr:colOff>2990850</xdr:colOff>
          <xdr:row>4</xdr:row>
          <xdr:rowOff>717550</xdr:rowOff>
        </xdr:to>
        <xdr:sp macro="" textlink="">
          <xdr:nvSpPr>
            <xdr:cNvPr id="28673" name="CommandButton1" hidden="1">
              <a:extLst>
                <a:ext uri="{63B3BB69-23CF-44E3-9099-C40C66FF867C}">
                  <a14:compatExt spid="_x0000_s28673"/>
                </a:ext>
                <a:ext uri="{FF2B5EF4-FFF2-40B4-BE49-F238E27FC236}">
                  <a16:creationId xmlns:a16="http://schemas.microsoft.com/office/drawing/2014/main" id="{00000000-0008-0000-0D00-000001700000}"/>
                </a:ext>
              </a:extLst>
            </xdr:cNvPr>
            <xdr:cNvSpPr/>
          </xdr:nvSpPr>
          <xdr:spPr bwMode="auto">
            <a:xfrm>
              <a:off x="0" y="0"/>
              <a:ext cx="0" cy="0"/>
            </a:xfrm>
            <a:prstGeom prst="rect">
              <a:avLst/>
            </a:prstGeom>
            <a:noFill/>
            <a:ln>
              <a:noFill/>
            </a:ln>
            <a:effectLst>
              <a:outerShdw dist="35921" dir="2700000" algn="ctr" rotWithShape="0">
                <a:srgbClr val="000000"/>
              </a:outerShdw>
            </a:effectLst>
            <a:extLst>
              <a:ext uri="{91240B29-F687-4F45-9708-019B960494DF}">
                <a14:hiddenLine w="1">
                  <a:no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4</xdr:row>
          <xdr:rowOff>76200</xdr:rowOff>
        </xdr:from>
        <xdr:to>
          <xdr:col>2</xdr:col>
          <xdr:colOff>3143250</xdr:colOff>
          <xdr:row>4</xdr:row>
          <xdr:rowOff>736600</xdr:rowOff>
        </xdr:to>
        <xdr:sp macro="" textlink="">
          <xdr:nvSpPr>
            <xdr:cNvPr id="28674" name="CommandButton2" hidden="1">
              <a:extLst>
                <a:ext uri="{63B3BB69-23CF-44E3-9099-C40C66FF867C}">
                  <a14:compatExt spid="_x0000_s28674"/>
                </a:ext>
                <a:ext uri="{FF2B5EF4-FFF2-40B4-BE49-F238E27FC236}">
                  <a16:creationId xmlns:a16="http://schemas.microsoft.com/office/drawing/2014/main" id="{00000000-0008-0000-0D00-000002700000}"/>
                </a:ext>
              </a:extLst>
            </xdr:cNvPr>
            <xdr:cNvSpPr/>
          </xdr:nvSpPr>
          <xdr:spPr bwMode="auto">
            <a:xfrm>
              <a:off x="0" y="0"/>
              <a:ext cx="0" cy="0"/>
            </a:xfrm>
            <a:prstGeom prst="rect">
              <a:avLst/>
            </a:prstGeom>
            <a:noFill/>
            <a:ln>
              <a:noFill/>
            </a:ln>
            <a:effectLst>
              <a:outerShdw dist="35921" dir="2700000" algn="ctr" rotWithShape="0">
                <a:srgbClr val="000000"/>
              </a:outerShdw>
            </a:effectLst>
            <a:extLst>
              <a:ext uri="{91240B29-F687-4F45-9708-019B960494DF}">
                <a14:hiddenLine w="1">
                  <a:noFill/>
                  <a:miter lim="800000"/>
                  <a:headEnd/>
                  <a:tailEnd/>
                </a14:hiddenLine>
              </a:ext>
              <a:ext uri="{53640926-AAD7-44D8-BBD7-CCE9431645EC}">
                <a14:shadowObscured val="1"/>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WERK\Gaetan\001%20Risicomanifestaties%20en%20PRIMA\PRIMA%20MODEL%20FORMULIEREN\VERSIE%2020\001_RPMANIF_VERSIE%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lichtingen"/>
      <sheetName val="LUIK 1 - AANVRAAG"/>
      <sheetName val="LUIK 2 - RISICOVRAAG"/>
      <sheetName val="LUIK 4 - RISICO'S VGZ"/>
      <sheetName val="LUIK3 + SCORE"/>
      <sheetName val="Adressen Ziekenwagen"/>
      <sheetName val="Adressen MUG diensten"/>
      <sheetName val="Adressen Spoedgevallendiensten"/>
      <sheetName val="Toiletten"/>
      <sheetName val="LUIK Organisator"/>
      <sheetName val="Verzorgingen"/>
      <sheetName val="LUIK Rampen"/>
      <sheetName val="LUIK6"/>
      <sheetName val="LUIK7"/>
      <sheetName val="LUIK8"/>
      <sheetName val="LUIK5"/>
      <sheetName val="deel 1 brief geen advies"/>
      <sheetName val="deel 2 brief geen advies"/>
      <sheetName val="deel 1 brief"/>
      <sheetName val="deel 2 brief"/>
      <sheetName val="burgemeester"/>
      <sheetName val="100"/>
      <sheetName val="LUIK 3"/>
      <sheetName val="INTERPRETATIE"/>
      <sheetName val="CIJFERS"/>
      <sheetName val="RESULTATEN"/>
      <sheetName val="WERKDOC"/>
      <sheetName val="LIJST"/>
      <sheetName val="Registratie"/>
      <sheetName val="Blad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0.bin"/><Relationship Id="rId1" Type="http://schemas.openxmlformats.org/officeDocument/2006/relationships/hyperlink" Target="mailto:steven.vermeeren@mechelen.be" TargetMode="External"/><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2.bin"/><Relationship Id="rId5" Type="http://schemas.openxmlformats.org/officeDocument/2006/relationships/image" Target="../media/image12.emf"/><Relationship Id="rId4" Type="http://schemas.openxmlformats.org/officeDocument/2006/relationships/control" Target="../activeX/activeX6.xml"/></Relationships>
</file>

<file path=xl/worksheets/_rels/sheet13.xml.rels><?xml version="1.0" encoding="UTF-8" standalone="yes"?>
<Relationships xmlns="http://schemas.openxmlformats.org/package/2006/relationships"><Relationship Id="rId8" Type="http://schemas.openxmlformats.org/officeDocument/2006/relationships/image" Target="../media/image14.emf"/><Relationship Id="rId3" Type="http://schemas.openxmlformats.org/officeDocument/2006/relationships/drawing" Target="../drawings/drawing8.xml"/><Relationship Id="rId7" Type="http://schemas.openxmlformats.org/officeDocument/2006/relationships/control" Target="../activeX/activeX8.xml"/><Relationship Id="rId2" Type="http://schemas.openxmlformats.org/officeDocument/2006/relationships/printerSettings" Target="../printerSettings/printerSettings13.bin"/><Relationship Id="rId1" Type="http://schemas.openxmlformats.org/officeDocument/2006/relationships/hyperlink" Target="mailto:icm.antwerpen@health.fgov.be" TargetMode="External"/><Relationship Id="rId6" Type="http://schemas.openxmlformats.org/officeDocument/2006/relationships/image" Target="../media/image13.emf"/><Relationship Id="rId5" Type="http://schemas.openxmlformats.org/officeDocument/2006/relationships/control" Target="../activeX/activeX7.xml"/><Relationship Id="rId4" Type="http://schemas.openxmlformats.org/officeDocument/2006/relationships/vmlDrawing" Target="../drawings/vmlDrawing8.vml"/></Relationships>
</file>

<file path=xl/worksheets/_rels/sheet14.xml.rels><?xml version="1.0" encoding="UTF-8" standalone="yes"?>
<Relationships xmlns="http://schemas.openxmlformats.org/package/2006/relationships"><Relationship Id="rId8" Type="http://schemas.openxmlformats.org/officeDocument/2006/relationships/image" Target="../media/image16.emf"/><Relationship Id="rId3" Type="http://schemas.openxmlformats.org/officeDocument/2006/relationships/drawing" Target="../drawings/drawing9.xml"/><Relationship Id="rId7" Type="http://schemas.openxmlformats.org/officeDocument/2006/relationships/control" Target="../activeX/activeX10.xml"/><Relationship Id="rId2" Type="http://schemas.openxmlformats.org/officeDocument/2006/relationships/printerSettings" Target="../printerSettings/printerSettings14.bin"/><Relationship Id="rId1" Type="http://schemas.openxmlformats.org/officeDocument/2006/relationships/hyperlink" Target="mailto:icm.antwerpen@health.fgov.be" TargetMode="External"/><Relationship Id="rId6" Type="http://schemas.openxmlformats.org/officeDocument/2006/relationships/image" Target="../media/image15.emf"/><Relationship Id="rId5" Type="http://schemas.openxmlformats.org/officeDocument/2006/relationships/control" Target="../activeX/activeX9.xml"/><Relationship Id="rId4" Type="http://schemas.openxmlformats.org/officeDocument/2006/relationships/vmlDrawing" Target="../drawings/vmlDrawing9.v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image" Target="../media/image5.emf"/><Relationship Id="rId4" Type="http://schemas.openxmlformats.org/officeDocument/2006/relationships/control" Target="../activeX/activeX1.xm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23.bin"/><Relationship Id="rId5" Type="http://schemas.openxmlformats.org/officeDocument/2006/relationships/comments" Target="../comments6.xml"/><Relationship Id="rId4" Type="http://schemas.openxmlformats.org/officeDocument/2006/relationships/vmlDrawing" Target="../drawings/vmlDrawing17.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18.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20.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mments" Target="../comments2.xml"/><Relationship Id="rId5" Type="http://schemas.openxmlformats.org/officeDocument/2006/relationships/image" Target="../media/image6.emf"/><Relationship Id="rId4" Type="http://schemas.openxmlformats.org/officeDocument/2006/relationships/control" Target="../activeX/activeX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mments" Target="../comments3.xml"/><Relationship Id="rId5" Type="http://schemas.openxmlformats.org/officeDocument/2006/relationships/image" Target="../media/image7.emf"/><Relationship Id="rId4" Type="http://schemas.openxmlformats.org/officeDocument/2006/relationships/control" Target="../activeX/activeX3.xml"/></Relationships>
</file>

<file path=xl/worksheets/_rels/sheet5.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5.vml"/><Relationship Id="rId7" Type="http://schemas.openxmlformats.org/officeDocument/2006/relationships/image" Target="../media/image9.emf"/><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ontrol" Target="../activeX/activeX5.xml"/><Relationship Id="rId5" Type="http://schemas.openxmlformats.org/officeDocument/2006/relationships/image" Target="../media/image8.emf"/><Relationship Id="rId4" Type="http://schemas.openxmlformats.org/officeDocument/2006/relationships/control" Target="../activeX/activeX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9">
    <tabColor indexed="22"/>
  </sheetPr>
  <dimension ref="A1:AR375"/>
  <sheetViews>
    <sheetView tabSelected="1" zoomScale="85" zoomScaleNormal="85" workbookViewId="0">
      <selection activeCell="B59" sqref="B59"/>
    </sheetView>
  </sheetViews>
  <sheetFormatPr defaultColWidth="9.1796875" defaultRowHeight="12.5" x14ac:dyDescent="0.25"/>
  <cols>
    <col min="1" max="1" width="5.54296875" style="1057" customWidth="1"/>
    <col min="2" max="2" width="82.54296875" style="1057" customWidth="1"/>
    <col min="3" max="3" width="71.81640625" style="1057" customWidth="1"/>
    <col min="4" max="4" width="25" style="1056" customWidth="1"/>
    <col min="5" max="5" width="93.54296875" style="1056" bestFit="1" customWidth="1"/>
    <col min="6" max="44" width="9.1796875" style="1056"/>
    <col min="45" max="16384" width="9.1796875" style="1057"/>
  </cols>
  <sheetData>
    <row r="1" spans="1:44" ht="20.5" thickBot="1" x14ac:dyDescent="0.3">
      <c r="A1" s="1252" t="s">
        <v>1719</v>
      </c>
      <c r="B1" s="1252"/>
      <c r="C1" s="1252"/>
    </row>
    <row r="2" spans="1:44" s="1060" customFormat="1" ht="67.5" customHeight="1" thickBot="1" x14ac:dyDescent="0.3">
      <c r="A2" s="1264" t="s">
        <v>1720</v>
      </c>
      <c r="B2" s="1265"/>
      <c r="C2" s="1266"/>
      <c r="D2" s="1058"/>
      <c r="E2" s="1059"/>
      <c r="F2" s="1058"/>
      <c r="G2" s="1058"/>
      <c r="H2" s="1058"/>
      <c r="I2" s="1058"/>
      <c r="J2" s="1058"/>
      <c r="K2" s="1058"/>
      <c r="L2" s="1058"/>
      <c r="M2" s="1058"/>
      <c r="N2" s="1058"/>
      <c r="O2" s="1058"/>
      <c r="P2" s="1058"/>
      <c r="Q2" s="1058"/>
      <c r="R2" s="1058"/>
      <c r="S2" s="1058"/>
      <c r="T2" s="1058"/>
      <c r="U2" s="1058"/>
      <c r="V2" s="1058"/>
      <c r="W2" s="1058"/>
      <c r="X2" s="1058"/>
      <c r="Y2" s="1058"/>
      <c r="Z2" s="1058"/>
      <c r="AA2" s="1058"/>
      <c r="AB2" s="1058"/>
      <c r="AC2" s="1058"/>
      <c r="AD2" s="1058"/>
      <c r="AE2" s="1058"/>
      <c r="AF2" s="1058"/>
      <c r="AG2" s="1058"/>
      <c r="AH2" s="1058"/>
      <c r="AI2" s="1058"/>
      <c r="AJ2" s="1058"/>
      <c r="AK2" s="1058"/>
      <c r="AL2" s="1058"/>
      <c r="AM2" s="1058"/>
      <c r="AN2" s="1058"/>
      <c r="AO2" s="1058"/>
      <c r="AP2" s="1058"/>
      <c r="AQ2" s="1058"/>
      <c r="AR2" s="1058"/>
    </row>
    <row r="3" spans="1:44" ht="102" customHeight="1" thickBot="1" x14ac:dyDescent="0.3">
      <c r="A3" s="1267" t="s">
        <v>1721</v>
      </c>
      <c r="B3" s="1254"/>
      <c r="C3" s="1255"/>
      <c r="E3" s="1061"/>
    </row>
    <row r="4" spans="1:44" ht="27" customHeight="1" thickBot="1" x14ac:dyDescent="0.3">
      <c r="A4" s="1259" t="s">
        <v>1667</v>
      </c>
      <c r="B4" s="1260"/>
      <c r="C4" s="1261"/>
      <c r="E4" s="1061"/>
    </row>
    <row r="5" spans="1:44" ht="232.5" customHeight="1" thickBot="1" x14ac:dyDescent="0.3">
      <c r="A5" s="1256" t="s">
        <v>1669</v>
      </c>
      <c r="B5" s="1262"/>
      <c r="C5" s="1263"/>
      <c r="E5" s="1061"/>
    </row>
    <row r="6" spans="1:44" ht="81" customHeight="1" thickBot="1" x14ac:dyDescent="0.3">
      <c r="A6" s="1256" t="s">
        <v>1668</v>
      </c>
      <c r="B6" s="1257"/>
      <c r="C6" s="1258"/>
      <c r="E6" s="1061"/>
    </row>
    <row r="7" spans="1:44" ht="72.75" customHeight="1" thickBot="1" x14ac:dyDescent="0.3">
      <c r="A7" s="1253" t="s">
        <v>1020</v>
      </c>
      <c r="B7" s="1254"/>
      <c r="C7" s="1255"/>
      <c r="E7" s="1061"/>
    </row>
    <row r="8" spans="1:44" ht="30" customHeight="1" thickBot="1" x14ac:dyDescent="0.3">
      <c r="A8" s="1253" t="s">
        <v>1722</v>
      </c>
      <c r="B8" s="1268"/>
      <c r="C8" s="1269"/>
      <c r="E8" s="1061"/>
    </row>
    <row r="9" spans="1:44" s="1056" customFormat="1" ht="7.5" customHeight="1" thickBot="1" x14ac:dyDescent="0.3">
      <c r="A9" s="1062"/>
      <c r="B9" s="1063"/>
      <c r="C9" s="1064"/>
      <c r="E9" s="1061"/>
    </row>
    <row r="10" spans="1:44" ht="20.5" hidden="1" thickBot="1" x14ac:dyDescent="0.3">
      <c r="A10" s="1272" t="s">
        <v>197</v>
      </c>
      <c r="B10" s="1273"/>
      <c r="C10" s="1274"/>
    </row>
    <row r="11" spans="1:44" ht="71.25" hidden="1" customHeight="1" thickBot="1" x14ac:dyDescent="0.3">
      <c r="A11" s="1236" t="s">
        <v>1310</v>
      </c>
      <c r="B11" s="1237"/>
      <c r="C11" s="1238"/>
    </row>
    <row r="12" spans="1:44" ht="6" hidden="1" customHeight="1" thickBot="1" x14ac:dyDescent="0.3">
      <c r="A12" s="1239"/>
      <c r="B12" s="1240"/>
      <c r="C12" s="1240"/>
      <c r="E12" s="1065"/>
    </row>
    <row r="13" spans="1:44" ht="16.5" hidden="1" customHeight="1" x14ac:dyDescent="0.25">
      <c r="A13" s="1241" t="s">
        <v>1311</v>
      </c>
      <c r="B13" s="1242"/>
      <c r="C13" s="1243"/>
      <c r="E13" s="1061"/>
    </row>
    <row r="14" spans="1:44" ht="16.5" hidden="1" customHeight="1" x14ac:dyDescent="0.25">
      <c r="A14" s="989" t="s">
        <v>183</v>
      </c>
      <c r="B14" s="1066" t="s">
        <v>1977</v>
      </c>
      <c r="C14" s="1067" t="s">
        <v>1978</v>
      </c>
      <c r="E14" s="1068"/>
    </row>
    <row r="15" spans="1:44" ht="16.5" hidden="1" customHeight="1" x14ac:dyDescent="0.25">
      <c r="A15" s="989" t="s">
        <v>1503</v>
      </c>
      <c r="B15" s="1066" t="s">
        <v>1893</v>
      </c>
      <c r="C15" s="1067" t="s">
        <v>247</v>
      </c>
      <c r="D15" s="1069"/>
      <c r="E15" s="1065"/>
    </row>
    <row r="16" spans="1:44" ht="16.5" hidden="1" customHeight="1" x14ac:dyDescent="0.25">
      <c r="A16" s="989" t="s">
        <v>1504</v>
      </c>
      <c r="B16" s="1244" t="s">
        <v>2143</v>
      </c>
      <c r="C16" s="1245"/>
      <c r="D16" s="1069"/>
      <c r="E16" s="1065"/>
    </row>
    <row r="17" spans="1:44" ht="16.5" hidden="1" customHeight="1" x14ac:dyDescent="0.25">
      <c r="A17" s="989" t="s">
        <v>1506</v>
      </c>
      <c r="B17" s="1066" t="s">
        <v>1723</v>
      </c>
      <c r="C17" s="1067" t="s">
        <v>1700</v>
      </c>
      <c r="D17" s="1069"/>
      <c r="E17" s="1065"/>
    </row>
    <row r="18" spans="1:44" ht="16.5" hidden="1" customHeight="1" x14ac:dyDescent="0.25">
      <c r="A18" s="989" t="s">
        <v>1508</v>
      </c>
      <c r="B18" s="1066" t="s">
        <v>276</v>
      </c>
      <c r="C18" s="1067" t="s">
        <v>277</v>
      </c>
      <c r="D18" s="1069"/>
      <c r="E18" s="1065"/>
    </row>
    <row r="19" spans="1:44" ht="16.5" hidden="1" customHeight="1" x14ac:dyDescent="0.25">
      <c r="A19" s="989" t="s">
        <v>1696</v>
      </c>
      <c r="B19" s="1066" t="s">
        <v>278</v>
      </c>
      <c r="C19" s="1067" t="s">
        <v>1700</v>
      </c>
      <c r="D19" s="1069"/>
      <c r="E19" s="1065"/>
    </row>
    <row r="20" spans="1:44" ht="52.5" hidden="1" customHeight="1" x14ac:dyDescent="0.25">
      <c r="A20" s="989" t="s">
        <v>1508</v>
      </c>
      <c r="B20" s="1070" t="s">
        <v>279</v>
      </c>
      <c r="C20" s="1067" t="s">
        <v>1699</v>
      </c>
      <c r="D20" s="1069"/>
      <c r="E20" s="1065"/>
    </row>
    <row r="21" spans="1:44" ht="30" hidden="1" customHeight="1" x14ac:dyDescent="0.25">
      <c r="A21" s="989" t="s">
        <v>1696</v>
      </c>
      <c r="B21" s="1071" t="s">
        <v>1312</v>
      </c>
      <c r="C21" s="1072" t="s">
        <v>196</v>
      </c>
      <c r="E21" s="1065"/>
    </row>
    <row r="22" spans="1:44" ht="16.5" hidden="1" customHeight="1" thickBot="1" x14ac:dyDescent="0.3">
      <c r="A22" s="990" t="s">
        <v>1697</v>
      </c>
      <c r="B22" s="1270" t="s">
        <v>280</v>
      </c>
      <c r="C22" s="1271"/>
    </row>
    <row r="23" spans="1:44" ht="7.5" hidden="1" customHeight="1" thickBot="1" x14ac:dyDescent="0.3">
      <c r="A23" s="1246"/>
      <c r="B23" s="1247"/>
      <c r="C23" s="1247"/>
    </row>
    <row r="24" spans="1:44" ht="16.5" hidden="1" customHeight="1" x14ac:dyDescent="0.25">
      <c r="A24" s="1229" t="s">
        <v>1929</v>
      </c>
      <c r="B24" s="1230"/>
      <c r="C24" s="1231"/>
    </row>
    <row r="25" spans="1:44" ht="16.5" hidden="1" customHeight="1" x14ac:dyDescent="0.25">
      <c r="A25" s="992" t="s">
        <v>183</v>
      </c>
      <c r="B25" s="1225" t="s">
        <v>1313</v>
      </c>
      <c r="C25" s="1226"/>
    </row>
    <row r="26" spans="1:44" ht="16.5" hidden="1" customHeight="1" x14ac:dyDescent="0.25">
      <c r="A26" s="992" t="s">
        <v>1503</v>
      </c>
      <c r="B26" s="496" t="s">
        <v>1977</v>
      </c>
      <c r="C26" s="1067" t="s">
        <v>1978</v>
      </c>
    </row>
    <row r="27" spans="1:44" ht="16.5" hidden="1" customHeight="1" x14ac:dyDescent="0.25">
      <c r="A27" s="993" t="s">
        <v>1504</v>
      </c>
      <c r="B27" s="1110" t="s">
        <v>1979</v>
      </c>
      <c r="C27" s="1275" t="s">
        <v>1980</v>
      </c>
    </row>
    <row r="28" spans="1:44" s="1075" customFormat="1" hidden="1" x14ac:dyDescent="0.25">
      <c r="A28" s="1073"/>
      <c r="B28" s="1111" t="s">
        <v>254</v>
      </c>
      <c r="C28" s="1276"/>
      <c r="D28" s="1074"/>
      <c r="E28" s="1074"/>
      <c r="F28" s="1074"/>
      <c r="G28" s="1074"/>
      <c r="H28" s="1074"/>
      <c r="I28" s="1074"/>
      <c r="J28" s="1074"/>
      <c r="K28" s="1074"/>
      <c r="L28" s="1074"/>
      <c r="M28" s="1074"/>
      <c r="N28" s="1074"/>
      <c r="O28" s="1074"/>
      <c r="P28" s="1074"/>
      <c r="Q28" s="1074"/>
      <c r="R28" s="1074"/>
      <c r="S28" s="1074"/>
      <c r="T28" s="1074"/>
      <c r="U28" s="1074"/>
      <c r="V28" s="1074"/>
      <c r="W28" s="1074"/>
      <c r="X28" s="1074"/>
      <c r="Y28" s="1074"/>
      <c r="Z28" s="1074"/>
      <c r="AA28" s="1074"/>
      <c r="AB28" s="1074"/>
      <c r="AC28" s="1074"/>
      <c r="AD28" s="1074"/>
      <c r="AE28" s="1074"/>
      <c r="AF28" s="1074"/>
      <c r="AG28" s="1074"/>
      <c r="AH28" s="1074"/>
      <c r="AI28" s="1074"/>
      <c r="AJ28" s="1074"/>
      <c r="AK28" s="1074"/>
      <c r="AL28" s="1074"/>
      <c r="AM28" s="1074"/>
      <c r="AN28" s="1074"/>
      <c r="AO28" s="1074"/>
      <c r="AP28" s="1074"/>
      <c r="AQ28" s="1074"/>
      <c r="AR28" s="1074"/>
    </row>
    <row r="29" spans="1:44" s="1075" customFormat="1" hidden="1" x14ac:dyDescent="0.25">
      <c r="A29" s="1073"/>
      <c r="B29" s="1111" t="s">
        <v>255</v>
      </c>
      <c r="C29" s="1276"/>
      <c r="D29" s="1074"/>
      <c r="E29" s="1074"/>
      <c r="F29" s="1074"/>
      <c r="G29" s="1074"/>
      <c r="H29" s="1074"/>
      <c r="I29" s="1074"/>
      <c r="J29" s="1074"/>
      <c r="K29" s="1074"/>
      <c r="L29" s="1074"/>
      <c r="M29" s="1074"/>
      <c r="N29" s="1074"/>
      <c r="O29" s="1074"/>
      <c r="P29" s="1074"/>
      <c r="Q29" s="1074"/>
      <c r="R29" s="1074"/>
      <c r="S29" s="1074"/>
      <c r="T29" s="1074"/>
      <c r="U29" s="1074"/>
      <c r="V29" s="1074"/>
      <c r="W29" s="1074"/>
      <c r="X29" s="1074"/>
      <c r="Y29" s="1074"/>
      <c r="Z29" s="1074"/>
      <c r="AA29" s="1074"/>
      <c r="AB29" s="1074"/>
      <c r="AC29" s="1074"/>
      <c r="AD29" s="1074"/>
      <c r="AE29" s="1074"/>
      <c r="AF29" s="1074"/>
      <c r="AG29" s="1074"/>
      <c r="AH29" s="1074"/>
      <c r="AI29" s="1074"/>
      <c r="AJ29" s="1074"/>
      <c r="AK29" s="1074"/>
      <c r="AL29" s="1074"/>
      <c r="AM29" s="1074"/>
      <c r="AN29" s="1074"/>
      <c r="AO29" s="1074"/>
      <c r="AP29" s="1074"/>
      <c r="AQ29" s="1074"/>
      <c r="AR29" s="1074"/>
    </row>
    <row r="30" spans="1:44" s="1075" customFormat="1" hidden="1" x14ac:dyDescent="0.25">
      <c r="A30" s="1073"/>
      <c r="B30" s="1111" t="s">
        <v>256</v>
      </c>
      <c r="C30" s="1276"/>
      <c r="D30" s="1074"/>
      <c r="E30" s="1074"/>
      <c r="F30" s="1074"/>
      <c r="G30" s="1074"/>
      <c r="H30" s="1074"/>
      <c r="I30" s="1074"/>
      <c r="J30" s="1074"/>
      <c r="K30" s="1074"/>
      <c r="L30" s="1074"/>
      <c r="M30" s="1074"/>
      <c r="N30" s="1074"/>
      <c r="O30" s="1074"/>
      <c r="P30" s="1074"/>
      <c r="Q30" s="1074"/>
      <c r="R30" s="1074"/>
      <c r="S30" s="1074"/>
      <c r="T30" s="1074"/>
      <c r="U30" s="1074"/>
      <c r="V30" s="1074"/>
      <c r="W30" s="1074"/>
      <c r="X30" s="1074"/>
      <c r="Y30" s="1074"/>
      <c r="Z30" s="1074"/>
      <c r="AA30" s="1074"/>
      <c r="AB30" s="1074"/>
      <c r="AC30" s="1074"/>
      <c r="AD30" s="1074"/>
      <c r="AE30" s="1074"/>
      <c r="AF30" s="1074"/>
      <c r="AG30" s="1074"/>
      <c r="AH30" s="1074"/>
      <c r="AI30" s="1074"/>
      <c r="AJ30" s="1074"/>
      <c r="AK30" s="1074"/>
      <c r="AL30" s="1074"/>
      <c r="AM30" s="1074"/>
      <c r="AN30" s="1074"/>
      <c r="AO30" s="1074"/>
      <c r="AP30" s="1074"/>
      <c r="AQ30" s="1074"/>
      <c r="AR30" s="1074"/>
    </row>
    <row r="31" spans="1:44" s="1075" customFormat="1" hidden="1" x14ac:dyDescent="0.25">
      <c r="A31" s="1073"/>
      <c r="B31" s="1111" t="s">
        <v>257</v>
      </c>
      <c r="C31" s="1276"/>
      <c r="D31" s="1074"/>
      <c r="E31" s="1074"/>
      <c r="F31" s="1074"/>
      <c r="G31" s="1074"/>
      <c r="H31" s="1074"/>
      <c r="I31" s="1074"/>
      <c r="J31" s="1074"/>
      <c r="K31" s="1074"/>
      <c r="L31" s="1074"/>
      <c r="M31" s="1074"/>
      <c r="N31" s="1074"/>
      <c r="O31" s="1074"/>
      <c r="P31" s="1074"/>
      <c r="Q31" s="1074"/>
      <c r="R31" s="1074"/>
      <c r="S31" s="1074"/>
      <c r="T31" s="1074"/>
      <c r="U31" s="1074"/>
      <c r="V31" s="1074"/>
      <c r="W31" s="1074"/>
      <c r="X31" s="1074"/>
      <c r="Y31" s="1074"/>
      <c r="Z31" s="1074"/>
      <c r="AA31" s="1074"/>
      <c r="AB31" s="1074"/>
      <c r="AC31" s="1074"/>
      <c r="AD31" s="1074"/>
      <c r="AE31" s="1074"/>
      <c r="AF31" s="1074"/>
      <c r="AG31" s="1074"/>
      <c r="AH31" s="1074"/>
      <c r="AI31" s="1074"/>
      <c r="AJ31" s="1074"/>
      <c r="AK31" s="1074"/>
      <c r="AL31" s="1074"/>
      <c r="AM31" s="1074"/>
      <c r="AN31" s="1074"/>
      <c r="AO31" s="1074"/>
      <c r="AP31" s="1074"/>
      <c r="AQ31" s="1074"/>
      <c r="AR31" s="1074"/>
    </row>
    <row r="32" spans="1:44" s="1075" customFormat="1" hidden="1" x14ac:dyDescent="0.25">
      <c r="A32" s="1073"/>
      <c r="B32" s="1111" t="s">
        <v>258</v>
      </c>
      <c r="C32" s="1276"/>
      <c r="D32" s="1074"/>
      <c r="E32" s="1074"/>
      <c r="F32" s="1074"/>
      <c r="G32" s="1074"/>
      <c r="H32" s="1074"/>
      <c r="I32" s="1074"/>
      <c r="J32" s="1074"/>
      <c r="K32" s="1074"/>
      <c r="L32" s="1074"/>
      <c r="M32" s="1074"/>
      <c r="N32" s="1074"/>
      <c r="O32" s="1074"/>
      <c r="P32" s="1074"/>
      <c r="Q32" s="1074"/>
      <c r="R32" s="1074"/>
      <c r="S32" s="1074"/>
      <c r="T32" s="1074"/>
      <c r="U32" s="1074"/>
      <c r="V32" s="1074"/>
      <c r="W32" s="1074"/>
      <c r="X32" s="1074"/>
      <c r="Y32" s="1074"/>
      <c r="Z32" s="1074"/>
      <c r="AA32" s="1074"/>
      <c r="AB32" s="1074"/>
      <c r="AC32" s="1074"/>
      <c r="AD32" s="1074"/>
      <c r="AE32" s="1074"/>
      <c r="AF32" s="1074"/>
      <c r="AG32" s="1074"/>
      <c r="AH32" s="1074"/>
      <c r="AI32" s="1074"/>
      <c r="AJ32" s="1074"/>
      <c r="AK32" s="1074"/>
      <c r="AL32" s="1074"/>
      <c r="AM32" s="1074"/>
      <c r="AN32" s="1074"/>
      <c r="AO32" s="1074"/>
      <c r="AP32" s="1074"/>
      <c r="AQ32" s="1074"/>
      <c r="AR32" s="1074"/>
    </row>
    <row r="33" spans="1:44" s="1075" customFormat="1" hidden="1" x14ac:dyDescent="0.25">
      <c r="A33" s="1073"/>
      <c r="B33" s="1111" t="s">
        <v>190</v>
      </c>
      <c r="C33" s="1276"/>
      <c r="D33" s="1074"/>
      <c r="E33" s="1074"/>
      <c r="F33" s="1074"/>
      <c r="G33" s="1074"/>
      <c r="H33" s="1074"/>
      <c r="I33" s="1074"/>
      <c r="J33" s="1074"/>
      <c r="K33" s="1074"/>
      <c r="L33" s="1074"/>
      <c r="M33" s="1074"/>
      <c r="N33" s="1074"/>
      <c r="O33" s="1074"/>
      <c r="P33" s="1074"/>
      <c r="Q33" s="1074"/>
      <c r="R33" s="1074"/>
      <c r="S33" s="1074"/>
      <c r="T33" s="1074"/>
      <c r="U33" s="1074"/>
      <c r="V33" s="1074"/>
      <c r="W33" s="1074"/>
      <c r="X33" s="1074"/>
      <c r="Y33" s="1074"/>
      <c r="Z33" s="1074"/>
      <c r="AA33" s="1074"/>
      <c r="AB33" s="1074"/>
      <c r="AC33" s="1074"/>
      <c r="AD33" s="1074"/>
      <c r="AE33" s="1074"/>
      <c r="AF33" s="1074"/>
      <c r="AG33" s="1074"/>
      <c r="AH33" s="1074"/>
      <c r="AI33" s="1074"/>
      <c r="AJ33" s="1074"/>
      <c r="AK33" s="1074"/>
      <c r="AL33" s="1074"/>
      <c r="AM33" s="1074"/>
      <c r="AN33" s="1074"/>
      <c r="AO33" s="1074"/>
      <c r="AP33" s="1074"/>
      <c r="AQ33" s="1074"/>
      <c r="AR33" s="1074"/>
    </row>
    <row r="34" spans="1:44" s="1169" customFormat="1" ht="93.75" hidden="1" customHeight="1" x14ac:dyDescent="0.25">
      <c r="A34" s="1167"/>
      <c r="B34" s="1070" t="s">
        <v>1893</v>
      </c>
      <c r="C34" s="1166" t="s">
        <v>246</v>
      </c>
      <c r="D34" s="1168"/>
      <c r="E34" s="1168"/>
      <c r="F34" s="1168"/>
      <c r="G34" s="1168"/>
      <c r="H34" s="1168"/>
      <c r="I34" s="1168"/>
      <c r="J34" s="1168"/>
      <c r="K34" s="1168"/>
      <c r="L34" s="1168"/>
      <c r="M34" s="1168"/>
      <c r="N34" s="1168"/>
      <c r="O34" s="1168"/>
      <c r="P34" s="1168"/>
      <c r="Q34" s="1168"/>
      <c r="R34" s="1168"/>
      <c r="S34" s="1168"/>
      <c r="T34" s="1168"/>
      <c r="U34" s="1168"/>
      <c r="V34" s="1168"/>
      <c r="W34" s="1168"/>
      <c r="X34" s="1168"/>
      <c r="Y34" s="1168"/>
      <c r="Z34" s="1168"/>
      <c r="AA34" s="1168"/>
      <c r="AB34" s="1168"/>
      <c r="AC34" s="1168"/>
      <c r="AD34" s="1168"/>
      <c r="AE34" s="1168"/>
      <c r="AF34" s="1168"/>
      <c r="AG34" s="1168"/>
      <c r="AH34" s="1168"/>
      <c r="AI34" s="1168"/>
      <c r="AJ34" s="1168"/>
      <c r="AK34" s="1168"/>
      <c r="AL34" s="1168"/>
      <c r="AM34" s="1168"/>
      <c r="AN34" s="1168"/>
      <c r="AO34" s="1168"/>
      <c r="AP34" s="1168"/>
      <c r="AQ34" s="1168"/>
      <c r="AR34" s="1168"/>
    </row>
    <row r="35" spans="1:44" ht="31.5" hidden="1" customHeight="1" x14ac:dyDescent="0.25">
      <c r="A35" s="995" t="s">
        <v>1506</v>
      </c>
      <c r="B35" s="1248" t="s">
        <v>281</v>
      </c>
      <c r="C35" s="1249"/>
    </row>
    <row r="36" spans="1:44" ht="50.25" hidden="1" customHeight="1" x14ac:dyDescent="0.25">
      <c r="A36" s="995" t="s">
        <v>1508</v>
      </c>
      <c r="B36" s="1248" t="s">
        <v>1928</v>
      </c>
      <c r="C36" s="1249"/>
    </row>
    <row r="37" spans="1:44" ht="44.25" hidden="1" customHeight="1" x14ac:dyDescent="0.25">
      <c r="A37" s="1017" t="s">
        <v>1696</v>
      </c>
      <c r="B37" s="1248" t="s">
        <v>350</v>
      </c>
      <c r="C37" s="1249"/>
    </row>
    <row r="38" spans="1:44" ht="56.25" hidden="1" customHeight="1" thickBot="1" x14ac:dyDescent="0.3">
      <c r="A38" s="996" t="s">
        <v>1697</v>
      </c>
      <c r="B38" s="1250" t="s">
        <v>364</v>
      </c>
      <c r="C38" s="1251"/>
    </row>
    <row r="39" spans="1:44" ht="13" hidden="1" thickBot="1" x14ac:dyDescent="0.3">
      <c r="A39" s="993"/>
      <c r="B39" s="1076"/>
      <c r="C39" s="988"/>
    </row>
    <row r="40" spans="1:44" ht="13" hidden="1" x14ac:dyDescent="0.25">
      <c r="A40" s="1229" t="s">
        <v>1314</v>
      </c>
      <c r="B40" s="1230"/>
      <c r="C40" s="1231"/>
    </row>
    <row r="41" spans="1:44" ht="111.75" hidden="1" customHeight="1" x14ac:dyDescent="0.25">
      <c r="A41" s="1077" t="s">
        <v>183</v>
      </c>
      <c r="B41" s="1232" t="s">
        <v>1315</v>
      </c>
      <c r="C41" s="1233"/>
    </row>
    <row r="42" spans="1:44" ht="16.5" hidden="1" customHeight="1" x14ac:dyDescent="0.25">
      <c r="A42" s="992" t="s">
        <v>1503</v>
      </c>
      <c r="B42" s="1225" t="s">
        <v>1316</v>
      </c>
      <c r="C42" s="1226"/>
    </row>
    <row r="43" spans="1:44" ht="36" hidden="1" customHeight="1" x14ac:dyDescent="0.25">
      <c r="A43" s="992" t="s">
        <v>1504</v>
      </c>
      <c r="B43" s="1234" t="s">
        <v>248</v>
      </c>
      <c r="C43" s="1235"/>
    </row>
    <row r="44" spans="1:44" ht="16.5" hidden="1" customHeight="1" x14ac:dyDescent="0.25">
      <c r="A44" s="992" t="s">
        <v>1506</v>
      </c>
      <c r="B44" s="1225" t="s">
        <v>282</v>
      </c>
      <c r="C44" s="1226"/>
    </row>
    <row r="45" spans="1:44" ht="16.5" hidden="1" customHeight="1" thickBot="1" x14ac:dyDescent="0.3">
      <c r="A45" s="1007" t="s">
        <v>1508</v>
      </c>
      <c r="B45" s="1227" t="s">
        <v>1930</v>
      </c>
      <c r="C45" s="1228"/>
      <c r="D45" s="1078"/>
    </row>
    <row r="46" spans="1:44" hidden="1" x14ac:dyDescent="0.25">
      <c r="A46" s="1056"/>
      <c r="B46" s="1056"/>
      <c r="C46" s="1056"/>
      <c r="D46" s="1078"/>
    </row>
    <row r="47" spans="1:44" x14ac:dyDescent="0.25">
      <c r="A47" s="1056"/>
      <c r="B47" s="1079"/>
      <c r="C47" s="1056"/>
      <c r="D47" s="1078"/>
    </row>
    <row r="48" spans="1:44" ht="20" x14ac:dyDescent="0.25">
      <c r="A48" s="1056"/>
      <c r="B48" s="1201" t="s">
        <v>365</v>
      </c>
      <c r="C48" s="1056"/>
    </row>
    <row r="49" spans="1:4" ht="20" x14ac:dyDescent="0.25">
      <c r="A49" s="1056"/>
      <c r="B49" s="1201" t="str">
        <f>CIJFERS!C36</f>
        <v>icm.antwerpen@health.fgov.be</v>
      </c>
      <c r="C49" s="1056"/>
      <c r="D49" s="1078"/>
    </row>
    <row r="50" spans="1:4" x14ac:dyDescent="0.25">
      <c r="A50" s="1056"/>
      <c r="B50" s="1056"/>
      <c r="C50" s="1056"/>
      <c r="D50" s="1078"/>
    </row>
    <row r="51" spans="1:4" x14ac:dyDescent="0.25">
      <c r="A51" s="1056"/>
      <c r="B51" s="1056"/>
      <c r="C51" s="1056"/>
      <c r="D51" s="1078"/>
    </row>
    <row r="52" spans="1:4" x14ac:dyDescent="0.25">
      <c r="A52" s="1056"/>
      <c r="B52" s="1079"/>
      <c r="C52" s="1056"/>
      <c r="D52" s="1078"/>
    </row>
    <row r="53" spans="1:4" x14ac:dyDescent="0.25">
      <c r="A53" s="1056"/>
      <c r="B53" s="1056"/>
      <c r="C53" s="1056"/>
      <c r="D53" s="1078"/>
    </row>
    <row r="54" spans="1:4" x14ac:dyDescent="0.25">
      <c r="A54" s="1056"/>
      <c r="B54" s="1056"/>
      <c r="C54" s="1056"/>
      <c r="D54" s="1078"/>
    </row>
    <row r="55" spans="1:4" x14ac:dyDescent="0.25">
      <c r="A55" s="1056"/>
      <c r="B55" s="1056"/>
      <c r="C55" s="1056"/>
      <c r="D55" s="1078"/>
    </row>
    <row r="56" spans="1:4" x14ac:dyDescent="0.25">
      <c r="A56" s="1056"/>
      <c r="B56" s="1056"/>
      <c r="C56" s="1056"/>
      <c r="D56" s="1078"/>
    </row>
    <row r="57" spans="1:4" x14ac:dyDescent="0.25">
      <c r="A57" s="1056"/>
      <c r="B57" s="1079"/>
      <c r="C57" s="1056"/>
      <c r="D57" s="1078"/>
    </row>
    <row r="58" spans="1:4" x14ac:dyDescent="0.25">
      <c r="A58" s="1056"/>
      <c r="B58" s="1079"/>
      <c r="C58" s="1056"/>
      <c r="D58" s="1078"/>
    </row>
    <row r="59" spans="1:4" ht="33.75" customHeight="1" x14ac:dyDescent="0.25">
      <c r="A59" s="1056"/>
      <c r="B59" s="1079"/>
      <c r="C59" s="1065"/>
    </row>
    <row r="60" spans="1:4" s="1065" customFormat="1" ht="30" customHeight="1" x14ac:dyDescent="0.25">
      <c r="B60" s="1079"/>
      <c r="D60" s="1080"/>
    </row>
    <row r="61" spans="1:4" ht="45.75" customHeight="1" x14ac:dyDescent="0.25">
      <c r="A61" s="1056"/>
      <c r="B61" s="1079"/>
      <c r="C61" s="1065"/>
    </row>
    <row r="62" spans="1:4" x14ac:dyDescent="0.25">
      <c r="A62" s="1056"/>
      <c r="B62" s="1079"/>
      <c r="C62" s="1056"/>
    </row>
    <row r="63" spans="1:4" x14ac:dyDescent="0.25">
      <c r="A63" s="1056"/>
      <c r="B63" s="1079"/>
      <c r="C63" s="1078"/>
      <c r="D63" s="1078"/>
    </row>
    <row r="64" spans="1:4" x14ac:dyDescent="0.25">
      <c r="A64" s="1056"/>
      <c r="B64" s="1079"/>
      <c r="C64" s="1078"/>
      <c r="D64" s="1078"/>
    </row>
    <row r="65" spans="1:4" ht="15.5" x14ac:dyDescent="0.25">
      <c r="A65" s="1056"/>
      <c r="B65" s="1081"/>
      <c r="C65" s="1081"/>
      <c r="D65" s="1081"/>
    </row>
    <row r="66" spans="1:4" ht="7.5" customHeight="1" x14ac:dyDescent="0.25">
      <c r="A66" s="1056"/>
      <c r="B66" s="987"/>
      <c r="C66" s="987"/>
      <c r="D66" s="987"/>
    </row>
    <row r="67" spans="1:4" ht="72.75" customHeight="1" x14ac:dyDescent="0.25">
      <c r="A67" s="1056"/>
      <c r="B67" s="1082"/>
      <c r="C67" s="1082"/>
      <c r="D67" s="1082"/>
    </row>
    <row r="68" spans="1:4" ht="72.75" customHeight="1" x14ac:dyDescent="0.25">
      <c r="A68" s="1056"/>
      <c r="B68" s="1083"/>
      <c r="C68" s="1083"/>
      <c r="D68" s="1083"/>
    </row>
    <row r="69" spans="1:4" ht="96" customHeight="1" x14ac:dyDescent="0.25">
      <c r="A69" s="1056"/>
      <c r="B69" s="1084"/>
      <c r="C69" s="1084"/>
      <c r="D69" s="1084"/>
    </row>
    <row r="70" spans="1:4" ht="7.5" customHeight="1" x14ac:dyDescent="0.25">
      <c r="A70" s="1056"/>
      <c r="B70" s="1079"/>
      <c r="C70" s="987"/>
      <c r="D70" s="1078"/>
    </row>
    <row r="71" spans="1:4" ht="20.25" customHeight="1" x14ac:dyDescent="0.25">
      <c r="A71" s="1056"/>
      <c r="B71" s="1085"/>
      <c r="C71" s="1085"/>
      <c r="D71" s="1085"/>
    </row>
    <row r="72" spans="1:4" x14ac:dyDescent="0.25">
      <c r="A72" s="1056"/>
      <c r="B72" s="1079"/>
      <c r="C72" s="1056"/>
    </row>
    <row r="73" spans="1:4" x14ac:dyDescent="0.25">
      <c r="A73" s="1056"/>
      <c r="B73" s="1079"/>
      <c r="C73" s="1056"/>
    </row>
    <row r="74" spans="1:4" ht="16.5" customHeight="1" x14ac:dyDescent="0.25">
      <c r="A74" s="1056"/>
      <c r="B74" s="1079"/>
      <c r="C74" s="1065"/>
      <c r="D74" s="1065"/>
    </row>
    <row r="75" spans="1:4" x14ac:dyDescent="0.25">
      <c r="A75" s="1056"/>
      <c r="B75" s="1079"/>
      <c r="C75" s="1056"/>
    </row>
    <row r="76" spans="1:4" ht="48.75" customHeight="1" x14ac:dyDescent="0.25">
      <c r="A76" s="1056"/>
      <c r="B76" s="1079"/>
      <c r="C76" s="1086"/>
    </row>
    <row r="77" spans="1:4" ht="33.75" customHeight="1" x14ac:dyDescent="0.25">
      <c r="A77" s="1056"/>
      <c r="B77" s="1079"/>
      <c r="C77" s="1065"/>
      <c r="D77" s="1065"/>
    </row>
    <row r="78" spans="1:4" ht="16.5" customHeight="1" x14ac:dyDescent="0.25">
      <c r="A78" s="1056"/>
      <c r="B78" s="1079"/>
      <c r="C78" s="1065"/>
      <c r="D78" s="1065"/>
    </row>
    <row r="79" spans="1:4" ht="7.5" customHeight="1" x14ac:dyDescent="0.25">
      <c r="A79" s="1056"/>
      <c r="B79" s="1079"/>
      <c r="C79" s="991"/>
      <c r="D79" s="1078"/>
    </row>
    <row r="80" spans="1:4" ht="18.75" customHeight="1" x14ac:dyDescent="0.25">
      <c r="A80" s="1056"/>
      <c r="B80" s="1085"/>
      <c r="C80" s="1085"/>
      <c r="D80" s="1085"/>
    </row>
    <row r="81" spans="1:4" ht="18.75" customHeight="1" x14ac:dyDescent="0.25">
      <c r="A81" s="1056"/>
      <c r="B81" s="1079"/>
      <c r="C81" s="1056"/>
    </row>
    <row r="82" spans="1:4" x14ac:dyDescent="0.25">
      <c r="A82" s="1056"/>
      <c r="B82" s="1079"/>
      <c r="C82" s="1056"/>
    </row>
    <row r="83" spans="1:4" x14ac:dyDescent="0.25">
      <c r="A83" s="1056"/>
      <c r="B83" s="1079"/>
      <c r="C83" s="1056"/>
    </row>
    <row r="84" spans="1:4" x14ac:dyDescent="0.25">
      <c r="A84" s="1056"/>
      <c r="B84" s="1079"/>
      <c r="C84" s="1056"/>
      <c r="D84" s="1078"/>
    </row>
    <row r="85" spans="1:4" x14ac:dyDescent="0.25">
      <c r="A85" s="1056"/>
      <c r="B85" s="1079"/>
      <c r="C85" s="1056"/>
      <c r="D85" s="1078"/>
    </row>
    <row r="86" spans="1:4" x14ac:dyDescent="0.25">
      <c r="A86" s="1056"/>
      <c r="B86" s="1079"/>
      <c r="C86" s="1056"/>
      <c r="D86" s="1078"/>
    </row>
    <row r="87" spans="1:4" x14ac:dyDescent="0.25">
      <c r="A87" s="1056"/>
      <c r="B87" s="1079"/>
      <c r="C87" s="1056"/>
      <c r="D87" s="1078"/>
    </row>
    <row r="88" spans="1:4" x14ac:dyDescent="0.25">
      <c r="A88" s="1056"/>
      <c r="B88" s="1079"/>
      <c r="C88" s="1056"/>
      <c r="D88" s="1078"/>
    </row>
    <row r="89" spans="1:4" x14ac:dyDescent="0.25">
      <c r="A89" s="1056"/>
      <c r="B89" s="1079"/>
      <c r="C89" s="1056"/>
      <c r="D89" s="1078"/>
    </row>
    <row r="90" spans="1:4" ht="28.5" customHeight="1" x14ac:dyDescent="0.25">
      <c r="A90" s="1056"/>
      <c r="B90" s="1087"/>
      <c r="C90" s="1065"/>
      <c r="D90" s="1065"/>
    </row>
    <row r="91" spans="1:4" ht="41.25" customHeight="1" x14ac:dyDescent="0.25">
      <c r="A91" s="1056"/>
      <c r="B91" s="1087"/>
      <c r="C91" s="1065"/>
      <c r="D91" s="1065"/>
    </row>
    <row r="92" spans="1:4" ht="41.25" customHeight="1" x14ac:dyDescent="0.25">
      <c r="A92" s="1056"/>
      <c r="B92" s="1087"/>
      <c r="C92" s="1065"/>
      <c r="D92" s="1065"/>
    </row>
    <row r="93" spans="1:4" ht="56.25" customHeight="1" x14ac:dyDescent="0.25">
      <c r="A93" s="1056"/>
      <c r="B93" s="1087"/>
      <c r="C93" s="1065"/>
      <c r="D93" s="1065"/>
    </row>
    <row r="94" spans="1:4" ht="5.25" customHeight="1" x14ac:dyDescent="0.25">
      <c r="A94" s="1056"/>
      <c r="B94" s="1079"/>
      <c r="C94" s="1056"/>
      <c r="D94" s="1078"/>
    </row>
    <row r="95" spans="1:4" ht="17.25" customHeight="1" x14ac:dyDescent="0.25">
      <c r="A95" s="1056"/>
      <c r="B95" s="1085"/>
      <c r="C95" s="1085"/>
      <c r="D95" s="1085"/>
    </row>
    <row r="96" spans="1:4" ht="79.5" customHeight="1" x14ac:dyDescent="0.25">
      <c r="A96" s="1056"/>
      <c r="B96" s="1079"/>
      <c r="C96" s="1088"/>
      <c r="D96" s="1088"/>
    </row>
    <row r="97" spans="1:5" ht="18" customHeight="1" x14ac:dyDescent="0.25">
      <c r="A97" s="1056"/>
      <c r="B97" s="1079"/>
      <c r="C97" s="1056"/>
    </row>
    <row r="98" spans="1:5" ht="15" customHeight="1" x14ac:dyDescent="0.25">
      <c r="A98" s="1056"/>
      <c r="B98" s="1079"/>
      <c r="C98" s="1056"/>
    </row>
    <row r="99" spans="1:5" ht="15.75" customHeight="1" x14ac:dyDescent="0.25">
      <c r="A99" s="1056"/>
      <c r="B99" s="1079"/>
      <c r="C99" s="1056"/>
    </row>
    <row r="100" spans="1:5" x14ac:dyDescent="0.25">
      <c r="A100" s="1056"/>
      <c r="B100" s="1079"/>
      <c r="C100" s="1079"/>
      <c r="D100" s="1078"/>
    </row>
    <row r="101" spans="1:5" x14ac:dyDescent="0.25">
      <c r="A101" s="1056"/>
      <c r="B101" s="1056"/>
      <c r="C101" s="1056"/>
    </row>
    <row r="102" spans="1:5" x14ac:dyDescent="0.25">
      <c r="A102" s="1056"/>
      <c r="B102" s="1056"/>
      <c r="C102" s="1056"/>
    </row>
    <row r="103" spans="1:5" ht="15.5" x14ac:dyDescent="0.25">
      <c r="A103" s="1056"/>
      <c r="B103" s="1056"/>
      <c r="C103" s="1081"/>
    </row>
    <row r="104" spans="1:5" x14ac:dyDescent="0.25">
      <c r="A104" s="1056"/>
      <c r="B104" s="1056"/>
      <c r="C104" s="1056"/>
    </row>
    <row r="105" spans="1:5" ht="30" customHeight="1" x14ac:dyDescent="0.25">
      <c r="A105" s="1056"/>
      <c r="B105" s="1056"/>
      <c r="C105" s="1065"/>
    </row>
    <row r="106" spans="1:5" x14ac:dyDescent="0.25">
      <c r="A106" s="1056"/>
      <c r="B106" s="1056"/>
      <c r="C106" s="1056"/>
    </row>
    <row r="107" spans="1:5" ht="26.25" customHeight="1" x14ac:dyDescent="0.25">
      <c r="A107" s="1056"/>
      <c r="B107" s="1056"/>
      <c r="C107" s="1056"/>
      <c r="D107" s="1086"/>
      <c r="E107" s="1086"/>
    </row>
    <row r="108" spans="1:5" ht="26.25" customHeight="1" x14ac:dyDescent="0.25">
      <c r="A108" s="1056"/>
      <c r="B108" s="1056"/>
      <c r="C108" s="1079"/>
      <c r="D108" s="1086"/>
      <c r="E108" s="1086"/>
    </row>
    <row r="109" spans="1:5" x14ac:dyDescent="0.25">
      <c r="A109" s="1056"/>
      <c r="B109" s="1056"/>
      <c r="C109" s="1056"/>
    </row>
    <row r="110" spans="1:5" x14ac:dyDescent="0.25">
      <c r="A110" s="1056"/>
      <c r="B110" s="1056"/>
      <c r="C110" s="1056"/>
    </row>
    <row r="111" spans="1:5" ht="15.5" x14ac:dyDescent="0.25">
      <c r="A111" s="1056"/>
      <c r="B111" s="1056"/>
      <c r="C111" s="1081"/>
    </row>
    <row r="112" spans="1:5" x14ac:dyDescent="0.25">
      <c r="A112" s="1056"/>
      <c r="B112" s="1056"/>
      <c r="C112" s="1056"/>
    </row>
    <row r="113" spans="1:4" ht="17.5" x14ac:dyDescent="0.25">
      <c r="A113" s="1089"/>
      <c r="B113" s="1089"/>
      <c r="C113" s="1089"/>
      <c r="D113" s="1089"/>
    </row>
    <row r="114" spans="1:4" x14ac:dyDescent="0.25">
      <c r="A114" s="1080"/>
      <c r="B114" s="1080"/>
      <c r="C114" s="1080"/>
      <c r="D114" s="1080"/>
    </row>
    <row r="115" spans="1:4" ht="42" customHeight="1" x14ac:dyDescent="0.25">
      <c r="A115" s="1089"/>
      <c r="B115" s="1089"/>
      <c r="C115" s="1089"/>
      <c r="D115" s="1089"/>
    </row>
    <row r="116" spans="1:4" x14ac:dyDescent="0.25">
      <c r="A116" s="1056"/>
      <c r="B116" s="1056"/>
      <c r="C116" s="1056"/>
    </row>
    <row r="117" spans="1:4" ht="17.5" x14ac:dyDescent="0.25">
      <c r="A117" s="1090"/>
      <c r="B117" s="1090"/>
      <c r="C117" s="1090"/>
      <c r="D117" s="1090"/>
    </row>
    <row r="118" spans="1:4" x14ac:dyDescent="0.25">
      <c r="A118" s="1056"/>
      <c r="B118" s="1056"/>
      <c r="C118" s="1091"/>
      <c r="D118" s="1078"/>
    </row>
    <row r="119" spans="1:4" x14ac:dyDescent="0.25">
      <c r="A119" s="1078"/>
      <c r="B119" s="1078"/>
      <c r="C119" s="1091"/>
      <c r="D119" s="1078"/>
    </row>
    <row r="120" spans="1:4" x14ac:dyDescent="0.25">
      <c r="A120" s="1056"/>
      <c r="B120" s="1056"/>
      <c r="C120" s="1092"/>
    </row>
    <row r="121" spans="1:4" x14ac:dyDescent="0.25">
      <c r="A121" s="1056"/>
      <c r="B121" s="1056"/>
      <c r="C121" s="1092"/>
    </row>
    <row r="122" spans="1:4" x14ac:dyDescent="0.25">
      <c r="A122" s="1056"/>
      <c r="B122" s="1056"/>
      <c r="C122" s="1092"/>
    </row>
    <row r="123" spans="1:4" x14ac:dyDescent="0.25">
      <c r="A123" s="1056"/>
      <c r="B123" s="1056"/>
      <c r="C123" s="1092"/>
    </row>
    <row r="124" spans="1:4" x14ac:dyDescent="0.25">
      <c r="A124" s="1056"/>
      <c r="B124" s="1056"/>
      <c r="C124" s="1092"/>
    </row>
    <row r="125" spans="1:4" x14ac:dyDescent="0.25">
      <c r="A125" s="1056"/>
      <c r="B125" s="1056"/>
      <c r="C125" s="1092"/>
    </row>
    <row r="126" spans="1:4" x14ac:dyDescent="0.25">
      <c r="A126" s="1056"/>
      <c r="B126" s="1056"/>
      <c r="C126" s="1092"/>
    </row>
    <row r="127" spans="1:4" x14ac:dyDescent="0.25">
      <c r="A127" s="1056"/>
      <c r="B127" s="1056"/>
      <c r="C127" s="1092"/>
    </row>
    <row r="128" spans="1:4" x14ac:dyDescent="0.25">
      <c r="A128" s="1056"/>
      <c r="B128" s="1056"/>
      <c r="C128" s="1092"/>
    </row>
    <row r="129" spans="1:3" x14ac:dyDescent="0.25">
      <c r="A129" s="1056"/>
      <c r="B129" s="1056"/>
      <c r="C129" s="1092"/>
    </row>
    <row r="130" spans="1:3" x14ac:dyDescent="0.25">
      <c r="A130" s="1056"/>
      <c r="B130" s="1056"/>
      <c r="C130" s="1092"/>
    </row>
    <row r="131" spans="1:3" x14ac:dyDescent="0.25">
      <c r="A131" s="1056"/>
      <c r="B131" s="1056"/>
      <c r="C131" s="1092"/>
    </row>
    <row r="132" spans="1:3" x14ac:dyDescent="0.25">
      <c r="A132" s="1056"/>
      <c r="B132" s="1056"/>
      <c r="C132" s="1092"/>
    </row>
    <row r="133" spans="1:3" x14ac:dyDescent="0.25">
      <c r="A133" s="1056"/>
      <c r="B133" s="1056"/>
      <c r="C133" s="1092"/>
    </row>
    <row r="134" spans="1:3" x14ac:dyDescent="0.25">
      <c r="A134" s="1056"/>
      <c r="B134" s="1056"/>
      <c r="C134" s="1092"/>
    </row>
    <row r="135" spans="1:3" x14ac:dyDescent="0.25">
      <c r="A135" s="1056"/>
      <c r="B135" s="1056"/>
      <c r="C135" s="1092"/>
    </row>
    <row r="136" spans="1:3" x14ac:dyDescent="0.25">
      <c r="A136" s="1056"/>
      <c r="B136" s="1056"/>
      <c r="C136" s="1056"/>
    </row>
    <row r="137" spans="1:3" x14ac:dyDescent="0.25">
      <c r="A137" s="1056"/>
      <c r="B137" s="1056"/>
      <c r="C137" s="1056"/>
    </row>
    <row r="138" spans="1:3" x14ac:dyDescent="0.25">
      <c r="A138" s="1056"/>
      <c r="B138" s="1056"/>
      <c r="C138" s="1056"/>
    </row>
    <row r="139" spans="1:3" x14ac:dyDescent="0.25">
      <c r="A139" s="1056"/>
      <c r="B139" s="1056"/>
      <c r="C139" s="1056"/>
    </row>
    <row r="140" spans="1:3" x14ac:dyDescent="0.25">
      <c r="A140" s="1056"/>
      <c r="B140" s="1056"/>
      <c r="C140" s="1056"/>
    </row>
    <row r="141" spans="1:3" x14ac:dyDescent="0.25">
      <c r="A141" s="1056"/>
      <c r="B141" s="1056"/>
      <c r="C141" s="1056"/>
    </row>
    <row r="142" spans="1:3" x14ac:dyDescent="0.25">
      <c r="A142" s="1056"/>
      <c r="B142" s="1056"/>
      <c r="C142" s="1056"/>
    </row>
    <row r="143" spans="1:3" x14ac:dyDescent="0.25">
      <c r="A143" s="1056"/>
      <c r="B143" s="1056"/>
      <c r="C143" s="1056"/>
    </row>
    <row r="144" spans="1:3" x14ac:dyDescent="0.25">
      <c r="A144" s="1056"/>
      <c r="B144" s="1056"/>
      <c r="C144" s="1056"/>
    </row>
    <row r="145" spans="1:3" x14ac:dyDescent="0.25">
      <c r="A145" s="1056"/>
      <c r="B145" s="1056"/>
      <c r="C145" s="1056"/>
    </row>
    <row r="146" spans="1:3" x14ac:dyDescent="0.25">
      <c r="A146" s="1056"/>
      <c r="B146" s="1056"/>
      <c r="C146" s="1056"/>
    </row>
    <row r="147" spans="1:3" x14ac:dyDescent="0.25">
      <c r="A147" s="1056"/>
      <c r="B147" s="1056"/>
      <c r="C147" s="1056"/>
    </row>
    <row r="148" spans="1:3" x14ac:dyDescent="0.25">
      <c r="A148" s="1056"/>
      <c r="B148" s="1056"/>
      <c r="C148" s="1056"/>
    </row>
    <row r="149" spans="1:3" x14ac:dyDescent="0.25">
      <c r="A149" s="1056"/>
      <c r="B149" s="1056"/>
      <c r="C149" s="1056"/>
    </row>
    <row r="150" spans="1:3" x14ac:dyDescent="0.25">
      <c r="A150" s="1056"/>
      <c r="B150" s="1056"/>
      <c r="C150" s="1056"/>
    </row>
    <row r="151" spans="1:3" x14ac:dyDescent="0.25">
      <c r="A151" s="1056"/>
      <c r="B151" s="1056"/>
      <c r="C151" s="1056"/>
    </row>
    <row r="152" spans="1:3" x14ac:dyDescent="0.25">
      <c r="A152" s="1056"/>
      <c r="B152" s="1056"/>
      <c r="C152" s="1056"/>
    </row>
    <row r="153" spans="1:3" x14ac:dyDescent="0.25">
      <c r="A153" s="1056"/>
      <c r="B153" s="1056"/>
      <c r="C153" s="1056"/>
    </row>
    <row r="154" spans="1:3" x14ac:dyDescent="0.25">
      <c r="A154" s="1056"/>
      <c r="B154" s="1056"/>
      <c r="C154" s="1056"/>
    </row>
    <row r="155" spans="1:3" x14ac:dyDescent="0.25">
      <c r="A155" s="1056"/>
      <c r="B155" s="1056"/>
      <c r="C155" s="1056"/>
    </row>
    <row r="156" spans="1:3" x14ac:dyDescent="0.25">
      <c r="A156" s="1056"/>
      <c r="B156" s="1056"/>
      <c r="C156" s="1056"/>
    </row>
    <row r="157" spans="1:3" x14ac:dyDescent="0.25">
      <c r="A157" s="1056"/>
      <c r="B157" s="1056"/>
      <c r="C157" s="1056"/>
    </row>
    <row r="158" spans="1:3" x14ac:dyDescent="0.25">
      <c r="A158" s="1056"/>
      <c r="B158" s="1056"/>
      <c r="C158" s="1056"/>
    </row>
    <row r="159" spans="1:3" x14ac:dyDescent="0.25">
      <c r="A159" s="1056"/>
      <c r="B159" s="1056"/>
      <c r="C159" s="1056"/>
    </row>
    <row r="160" spans="1:3" x14ac:dyDescent="0.25">
      <c r="A160" s="1056"/>
      <c r="B160" s="1056"/>
      <c r="C160" s="1056"/>
    </row>
    <row r="161" spans="1:3" x14ac:dyDescent="0.25">
      <c r="A161" s="1056"/>
      <c r="B161" s="1056"/>
      <c r="C161" s="1056"/>
    </row>
    <row r="162" spans="1:3" x14ac:dyDescent="0.25">
      <c r="A162" s="1056"/>
      <c r="B162" s="1056"/>
      <c r="C162" s="1056"/>
    </row>
    <row r="163" spans="1:3" x14ac:dyDescent="0.25">
      <c r="A163" s="1056"/>
      <c r="B163" s="1056"/>
      <c r="C163" s="1056"/>
    </row>
    <row r="164" spans="1:3" x14ac:dyDescent="0.25">
      <c r="A164" s="1056"/>
      <c r="B164" s="1056"/>
      <c r="C164" s="1056"/>
    </row>
    <row r="165" spans="1:3" x14ac:dyDescent="0.25">
      <c r="A165" s="1056"/>
      <c r="B165" s="1056"/>
      <c r="C165" s="1056"/>
    </row>
    <row r="166" spans="1:3" x14ac:dyDescent="0.25">
      <c r="A166" s="1056"/>
      <c r="B166" s="1056"/>
      <c r="C166" s="1056"/>
    </row>
    <row r="167" spans="1:3" x14ac:dyDescent="0.25">
      <c r="A167" s="1056"/>
      <c r="B167" s="1056"/>
      <c r="C167" s="1056"/>
    </row>
    <row r="168" spans="1:3" x14ac:dyDescent="0.25">
      <c r="A168" s="1056"/>
      <c r="B168" s="1056"/>
      <c r="C168" s="1056"/>
    </row>
    <row r="169" spans="1:3" x14ac:dyDescent="0.25">
      <c r="A169" s="1056"/>
      <c r="B169" s="1056"/>
      <c r="C169" s="1056"/>
    </row>
    <row r="170" spans="1:3" x14ac:dyDescent="0.25">
      <c r="A170" s="1056"/>
      <c r="B170" s="1056"/>
      <c r="C170" s="1056"/>
    </row>
    <row r="171" spans="1:3" x14ac:dyDescent="0.25">
      <c r="A171" s="1056"/>
      <c r="B171" s="1056"/>
      <c r="C171" s="1056"/>
    </row>
    <row r="172" spans="1:3" x14ac:dyDescent="0.25">
      <c r="A172" s="1056"/>
      <c r="B172" s="1056"/>
      <c r="C172" s="1056"/>
    </row>
    <row r="173" spans="1:3" x14ac:dyDescent="0.25">
      <c r="A173" s="1056"/>
      <c r="B173" s="1056"/>
      <c r="C173" s="1056"/>
    </row>
    <row r="174" spans="1:3" x14ac:dyDescent="0.25">
      <c r="A174" s="1056"/>
      <c r="B174" s="1056"/>
      <c r="C174" s="1056"/>
    </row>
    <row r="175" spans="1:3" x14ac:dyDescent="0.25">
      <c r="A175" s="1056"/>
      <c r="B175" s="1056"/>
      <c r="C175" s="1056"/>
    </row>
    <row r="176" spans="1:3" x14ac:dyDescent="0.25">
      <c r="A176" s="1056"/>
      <c r="B176" s="1056"/>
      <c r="C176" s="1056"/>
    </row>
    <row r="177" s="1056" customFormat="1" x14ac:dyDescent="0.25"/>
    <row r="178" s="1056" customFormat="1" x14ac:dyDescent="0.25"/>
    <row r="179" s="1056" customFormat="1" x14ac:dyDescent="0.25"/>
    <row r="180" s="1056" customFormat="1" x14ac:dyDescent="0.25"/>
    <row r="181" s="1056" customFormat="1" x14ac:dyDescent="0.25"/>
    <row r="182" s="1056" customFormat="1" x14ac:dyDescent="0.25"/>
    <row r="183" s="1056" customFormat="1" x14ac:dyDescent="0.25"/>
    <row r="184" s="1056" customFormat="1" x14ac:dyDescent="0.25"/>
    <row r="185" s="1056" customFormat="1" x14ac:dyDescent="0.25"/>
    <row r="186" s="1056" customFormat="1" x14ac:dyDescent="0.25"/>
    <row r="187" s="1056" customFormat="1" x14ac:dyDescent="0.25"/>
    <row r="188" s="1056" customFormat="1" x14ac:dyDescent="0.25"/>
    <row r="189" s="1056" customFormat="1" x14ac:dyDescent="0.25"/>
    <row r="190" s="1056" customFormat="1" x14ac:dyDescent="0.25"/>
    <row r="191" s="1056" customFormat="1" x14ac:dyDescent="0.25"/>
    <row r="192" s="1056" customFormat="1" x14ac:dyDescent="0.25"/>
    <row r="193" s="1056" customFormat="1" x14ac:dyDescent="0.25"/>
    <row r="194" s="1056" customFormat="1" x14ac:dyDescent="0.25"/>
    <row r="195" s="1056" customFormat="1" x14ac:dyDescent="0.25"/>
    <row r="196" s="1056" customFormat="1" x14ac:dyDescent="0.25"/>
    <row r="197" s="1056" customFormat="1" x14ac:dyDescent="0.25"/>
    <row r="198" s="1056" customFormat="1" x14ac:dyDescent="0.25"/>
    <row r="199" s="1056" customFormat="1" x14ac:dyDescent="0.25"/>
    <row r="200" s="1056" customFormat="1" x14ac:dyDescent="0.25"/>
    <row r="201" s="1056" customFormat="1" x14ac:dyDescent="0.25"/>
    <row r="202" s="1056" customFormat="1" x14ac:dyDescent="0.25"/>
    <row r="203" s="1056" customFormat="1" x14ac:dyDescent="0.25"/>
    <row r="204" s="1056" customFormat="1" x14ac:dyDescent="0.25"/>
    <row r="205" s="1056" customFormat="1" x14ac:dyDescent="0.25"/>
    <row r="206" s="1056" customFormat="1" x14ac:dyDescent="0.25"/>
    <row r="207" s="1056" customFormat="1" x14ac:dyDescent="0.25"/>
    <row r="208" s="1056" customFormat="1" x14ac:dyDescent="0.25"/>
    <row r="209" s="1056" customFormat="1" x14ac:dyDescent="0.25"/>
    <row r="210" s="1056" customFormat="1" x14ac:dyDescent="0.25"/>
    <row r="211" s="1056" customFormat="1" x14ac:dyDescent="0.25"/>
    <row r="212" s="1056" customFormat="1" x14ac:dyDescent="0.25"/>
    <row r="213" s="1056" customFormat="1" x14ac:dyDescent="0.25"/>
    <row r="214" s="1056" customFormat="1" x14ac:dyDescent="0.25"/>
    <row r="215" s="1056" customFormat="1" x14ac:dyDescent="0.25"/>
    <row r="216" s="1056" customFormat="1" x14ac:dyDescent="0.25"/>
    <row r="217" s="1056" customFormat="1" x14ac:dyDescent="0.25"/>
    <row r="218" s="1056" customFormat="1" x14ac:dyDescent="0.25"/>
    <row r="219" s="1056" customFormat="1" x14ac:dyDescent="0.25"/>
    <row r="220" s="1056" customFormat="1" x14ac:dyDescent="0.25"/>
    <row r="221" s="1056" customFormat="1" x14ac:dyDescent="0.25"/>
    <row r="222" s="1056" customFormat="1" x14ac:dyDescent="0.25"/>
    <row r="223" s="1056" customFormat="1" x14ac:dyDescent="0.25"/>
    <row r="224" s="1056" customFormat="1" x14ac:dyDescent="0.25"/>
    <row r="225" s="1056" customFormat="1" x14ac:dyDescent="0.25"/>
    <row r="226" s="1056" customFormat="1" x14ac:dyDescent="0.25"/>
    <row r="227" s="1056" customFormat="1" x14ac:dyDescent="0.25"/>
    <row r="228" s="1056" customFormat="1" x14ac:dyDescent="0.25"/>
    <row r="229" s="1056" customFormat="1" x14ac:dyDescent="0.25"/>
    <row r="230" s="1056" customFormat="1" x14ac:dyDescent="0.25"/>
    <row r="231" s="1056" customFormat="1" x14ac:dyDescent="0.25"/>
    <row r="232" s="1056" customFormat="1" x14ac:dyDescent="0.25"/>
    <row r="233" s="1056" customFormat="1" x14ac:dyDescent="0.25"/>
    <row r="234" s="1056" customFormat="1" x14ac:dyDescent="0.25"/>
    <row r="235" s="1056" customFormat="1" x14ac:dyDescent="0.25"/>
    <row r="236" s="1056" customFormat="1" x14ac:dyDescent="0.25"/>
    <row r="237" s="1056" customFormat="1" x14ac:dyDescent="0.25"/>
    <row r="238" s="1056" customFormat="1" x14ac:dyDescent="0.25"/>
    <row r="239" s="1056" customFormat="1" x14ac:dyDescent="0.25"/>
    <row r="240" s="1056" customFormat="1" x14ac:dyDescent="0.25"/>
    <row r="241" s="1056" customFormat="1" x14ac:dyDescent="0.25"/>
    <row r="242" s="1056" customFormat="1" x14ac:dyDescent="0.25"/>
    <row r="243" s="1056" customFormat="1" x14ac:dyDescent="0.25"/>
    <row r="244" s="1056" customFormat="1" x14ac:dyDescent="0.25"/>
    <row r="245" s="1056" customFormat="1" x14ac:dyDescent="0.25"/>
    <row r="246" s="1056" customFormat="1" x14ac:dyDescent="0.25"/>
    <row r="247" s="1056" customFormat="1" x14ac:dyDescent="0.25"/>
    <row r="248" s="1056" customFormat="1" x14ac:dyDescent="0.25"/>
    <row r="249" s="1056" customFormat="1" x14ac:dyDescent="0.25"/>
    <row r="250" s="1056" customFormat="1" x14ac:dyDescent="0.25"/>
    <row r="251" s="1056" customFormat="1" x14ac:dyDescent="0.25"/>
    <row r="252" s="1056" customFormat="1" x14ac:dyDescent="0.25"/>
    <row r="253" s="1056" customFormat="1" x14ac:dyDescent="0.25"/>
    <row r="254" s="1056" customFormat="1" x14ac:dyDescent="0.25"/>
    <row r="255" s="1056" customFormat="1" x14ac:dyDescent="0.25"/>
    <row r="256" s="1056" customFormat="1" x14ac:dyDescent="0.25"/>
    <row r="257" s="1056" customFormat="1" x14ac:dyDescent="0.25"/>
    <row r="258" s="1056" customFormat="1" x14ac:dyDescent="0.25"/>
    <row r="259" s="1056" customFormat="1" x14ac:dyDescent="0.25"/>
    <row r="260" s="1056" customFormat="1" x14ac:dyDescent="0.25"/>
    <row r="261" s="1056" customFormat="1" x14ac:dyDescent="0.25"/>
    <row r="262" s="1056" customFormat="1" x14ac:dyDescent="0.25"/>
    <row r="263" s="1056" customFormat="1" x14ac:dyDescent="0.25"/>
    <row r="264" s="1056" customFormat="1" x14ac:dyDescent="0.25"/>
    <row r="265" s="1056" customFormat="1" x14ac:dyDescent="0.25"/>
    <row r="266" s="1056" customFormat="1" x14ac:dyDescent="0.25"/>
    <row r="267" s="1056" customFormat="1" x14ac:dyDescent="0.25"/>
    <row r="268" s="1056" customFormat="1" x14ac:dyDescent="0.25"/>
    <row r="269" s="1056" customFormat="1" x14ac:dyDescent="0.25"/>
    <row r="270" s="1056" customFormat="1" x14ac:dyDescent="0.25"/>
    <row r="271" s="1056" customFormat="1" x14ac:dyDescent="0.25"/>
    <row r="272" s="1056" customFormat="1" x14ac:dyDescent="0.25"/>
    <row r="273" s="1056" customFormat="1" x14ac:dyDescent="0.25"/>
    <row r="274" s="1056" customFormat="1" x14ac:dyDescent="0.25"/>
    <row r="275" s="1056" customFormat="1" x14ac:dyDescent="0.25"/>
    <row r="276" s="1056" customFormat="1" x14ac:dyDescent="0.25"/>
    <row r="277" s="1056" customFormat="1" x14ac:dyDescent="0.25"/>
    <row r="278" s="1056" customFormat="1" x14ac:dyDescent="0.25"/>
    <row r="279" s="1056" customFormat="1" x14ac:dyDescent="0.25"/>
    <row r="280" s="1056" customFormat="1" x14ac:dyDescent="0.25"/>
    <row r="281" s="1056" customFormat="1" x14ac:dyDescent="0.25"/>
    <row r="282" s="1056" customFormat="1" x14ac:dyDescent="0.25"/>
    <row r="283" s="1056" customFormat="1" x14ac:dyDescent="0.25"/>
    <row r="284" s="1056" customFormat="1" x14ac:dyDescent="0.25"/>
    <row r="285" s="1056" customFormat="1" x14ac:dyDescent="0.25"/>
    <row r="286" s="1056" customFormat="1" x14ac:dyDescent="0.25"/>
    <row r="287" s="1056" customFormat="1" x14ac:dyDescent="0.25"/>
    <row r="288" s="1056" customFormat="1" x14ac:dyDescent="0.25"/>
    <row r="289" s="1056" customFormat="1" x14ac:dyDescent="0.25"/>
    <row r="290" s="1056" customFormat="1" x14ac:dyDescent="0.25"/>
    <row r="291" s="1056" customFormat="1" x14ac:dyDescent="0.25"/>
    <row r="292" s="1056" customFormat="1" x14ac:dyDescent="0.25"/>
    <row r="293" s="1056" customFormat="1" x14ac:dyDescent="0.25"/>
    <row r="294" s="1056" customFormat="1" x14ac:dyDescent="0.25"/>
    <row r="295" s="1056" customFormat="1" x14ac:dyDescent="0.25"/>
    <row r="296" s="1056" customFormat="1" x14ac:dyDescent="0.25"/>
    <row r="297" s="1056" customFormat="1" x14ac:dyDescent="0.25"/>
    <row r="298" s="1056" customFormat="1" x14ac:dyDescent="0.25"/>
    <row r="299" s="1056" customFormat="1" x14ac:dyDescent="0.25"/>
    <row r="300" s="1056" customFormat="1" x14ac:dyDescent="0.25"/>
    <row r="301" s="1056" customFormat="1" x14ac:dyDescent="0.25"/>
    <row r="302" s="1056" customFormat="1" x14ac:dyDescent="0.25"/>
    <row r="303" s="1056" customFormat="1" x14ac:dyDescent="0.25"/>
    <row r="304" s="1056" customFormat="1" x14ac:dyDescent="0.25"/>
    <row r="305" s="1056" customFormat="1" x14ac:dyDescent="0.25"/>
    <row r="306" s="1056" customFormat="1" x14ac:dyDescent="0.25"/>
    <row r="307" s="1056" customFormat="1" x14ac:dyDescent="0.25"/>
    <row r="308" s="1056" customFormat="1" x14ac:dyDescent="0.25"/>
    <row r="309" s="1056" customFormat="1" x14ac:dyDescent="0.25"/>
    <row r="310" s="1056" customFormat="1" x14ac:dyDescent="0.25"/>
    <row r="311" s="1056" customFormat="1" x14ac:dyDescent="0.25"/>
    <row r="312" s="1056" customFormat="1" x14ac:dyDescent="0.25"/>
    <row r="313" s="1056" customFormat="1" x14ac:dyDescent="0.25"/>
    <row r="314" s="1056" customFormat="1" x14ac:dyDescent="0.25"/>
    <row r="315" s="1056" customFormat="1" x14ac:dyDescent="0.25"/>
    <row r="316" s="1056" customFormat="1" x14ac:dyDescent="0.25"/>
    <row r="317" s="1056" customFormat="1" x14ac:dyDescent="0.25"/>
    <row r="318" s="1056" customFormat="1" x14ac:dyDescent="0.25"/>
    <row r="319" s="1056" customFormat="1" x14ac:dyDescent="0.25"/>
    <row r="320" s="1056" customFormat="1" x14ac:dyDescent="0.25"/>
    <row r="321" s="1056" customFormat="1" x14ac:dyDescent="0.25"/>
    <row r="322" s="1056" customFormat="1" x14ac:dyDescent="0.25"/>
    <row r="323" s="1056" customFormat="1" x14ac:dyDescent="0.25"/>
    <row r="324" s="1056" customFormat="1" x14ac:dyDescent="0.25"/>
    <row r="325" s="1056" customFormat="1" x14ac:dyDescent="0.25"/>
    <row r="326" s="1056" customFormat="1" x14ac:dyDescent="0.25"/>
    <row r="327" s="1056" customFormat="1" x14ac:dyDescent="0.25"/>
    <row r="328" s="1056" customFormat="1" x14ac:dyDescent="0.25"/>
    <row r="329" s="1056" customFormat="1" x14ac:dyDescent="0.25"/>
    <row r="330" s="1056" customFormat="1" x14ac:dyDescent="0.25"/>
    <row r="331" s="1056" customFormat="1" x14ac:dyDescent="0.25"/>
    <row r="332" s="1056" customFormat="1" x14ac:dyDescent="0.25"/>
    <row r="333" s="1056" customFormat="1" x14ac:dyDescent="0.25"/>
    <row r="334" s="1056" customFormat="1" x14ac:dyDescent="0.25"/>
    <row r="335" s="1056" customFormat="1" x14ac:dyDescent="0.25"/>
    <row r="336" s="1056" customFormat="1" x14ac:dyDescent="0.25"/>
    <row r="337" s="1056" customFormat="1" x14ac:dyDescent="0.25"/>
    <row r="338" s="1056" customFormat="1" x14ac:dyDescent="0.25"/>
    <row r="339" s="1056" customFormat="1" x14ac:dyDescent="0.25"/>
    <row r="340" s="1056" customFormat="1" x14ac:dyDescent="0.25"/>
    <row r="341" s="1056" customFormat="1" x14ac:dyDescent="0.25"/>
    <row r="342" s="1056" customFormat="1" x14ac:dyDescent="0.25"/>
    <row r="343" s="1056" customFormat="1" x14ac:dyDescent="0.25"/>
    <row r="344" s="1056" customFormat="1" x14ac:dyDescent="0.25"/>
    <row r="345" s="1056" customFormat="1" x14ac:dyDescent="0.25"/>
    <row r="346" s="1056" customFormat="1" x14ac:dyDescent="0.25"/>
    <row r="347" s="1056" customFormat="1" x14ac:dyDescent="0.25"/>
    <row r="348" s="1056" customFormat="1" x14ac:dyDescent="0.25"/>
    <row r="349" s="1056" customFormat="1" x14ac:dyDescent="0.25"/>
    <row r="350" s="1056" customFormat="1" x14ac:dyDescent="0.25"/>
    <row r="351" s="1056" customFormat="1" x14ac:dyDescent="0.25"/>
    <row r="352" s="1056" customFormat="1" x14ac:dyDescent="0.25"/>
    <row r="353" s="1056" customFormat="1" x14ac:dyDescent="0.25"/>
    <row r="354" s="1056" customFormat="1" x14ac:dyDescent="0.25"/>
    <row r="355" s="1056" customFormat="1" x14ac:dyDescent="0.25"/>
    <row r="356" s="1056" customFormat="1" x14ac:dyDescent="0.25"/>
    <row r="357" s="1056" customFormat="1" x14ac:dyDescent="0.25"/>
    <row r="358" s="1056" customFormat="1" x14ac:dyDescent="0.25"/>
    <row r="359" s="1056" customFormat="1" x14ac:dyDescent="0.25"/>
    <row r="360" s="1056" customFormat="1" x14ac:dyDescent="0.25"/>
    <row r="361" s="1056" customFormat="1" x14ac:dyDescent="0.25"/>
    <row r="362" s="1056" customFormat="1" x14ac:dyDescent="0.25"/>
    <row r="363" s="1056" customFormat="1" x14ac:dyDescent="0.25"/>
    <row r="364" s="1056" customFormat="1" x14ac:dyDescent="0.25"/>
    <row r="365" s="1056" customFormat="1" x14ac:dyDescent="0.25"/>
    <row r="366" s="1056" customFormat="1" x14ac:dyDescent="0.25"/>
    <row r="367" s="1056" customFormat="1" x14ac:dyDescent="0.25"/>
    <row r="368" s="1056" customFormat="1" x14ac:dyDescent="0.25"/>
    <row r="369" s="1056" customFormat="1" x14ac:dyDescent="0.25"/>
    <row r="370" s="1056" customFormat="1" x14ac:dyDescent="0.25"/>
    <row r="371" s="1056" customFormat="1" x14ac:dyDescent="0.25"/>
    <row r="372" s="1056" customFormat="1" x14ac:dyDescent="0.25"/>
    <row r="373" s="1056" customFormat="1" x14ac:dyDescent="0.25"/>
    <row r="374" s="1056" customFormat="1" x14ac:dyDescent="0.25"/>
    <row r="375" s="1056" customFormat="1" x14ac:dyDescent="0.25"/>
  </sheetData>
  <sheetProtection password="C534" sheet="1" objects="1" scenarios="1"/>
  <mergeCells count="28">
    <mergeCell ref="A8:C8"/>
    <mergeCell ref="B22:C22"/>
    <mergeCell ref="A10:C10"/>
    <mergeCell ref="A24:C24"/>
    <mergeCell ref="C27:C33"/>
    <mergeCell ref="A1:C1"/>
    <mergeCell ref="A7:C7"/>
    <mergeCell ref="A6:C6"/>
    <mergeCell ref="A4:C4"/>
    <mergeCell ref="A5:C5"/>
    <mergeCell ref="A2:C2"/>
    <mergeCell ref="A3:C3"/>
    <mergeCell ref="A11:C11"/>
    <mergeCell ref="A12:C12"/>
    <mergeCell ref="A13:C13"/>
    <mergeCell ref="B16:C16"/>
    <mergeCell ref="A23:C23"/>
    <mergeCell ref="B25:C25"/>
    <mergeCell ref="B42:C42"/>
    <mergeCell ref="B44:C44"/>
    <mergeCell ref="B45:C45"/>
    <mergeCell ref="A40:C40"/>
    <mergeCell ref="B41:C41"/>
    <mergeCell ref="B43:C43"/>
    <mergeCell ref="B36:C36"/>
    <mergeCell ref="B37:C37"/>
    <mergeCell ref="B38:C38"/>
    <mergeCell ref="B35:C35"/>
  </mergeCells>
  <phoneticPr fontId="2" type="noConversion"/>
  <pageMargins left="0.43" right="0.17" top="0.91" bottom="0.38" header="0.25" footer="7.0000000000000007E-2"/>
  <pageSetup paperSize="9" scale="80" orientation="landscape" r:id="rId1"/>
  <headerFooter alignWithMargins="0">
    <oddHeader>&amp;L&amp;G&amp;RFOD Volksgezondheid, Veiligheid van de voedselketen en leefmilieu
ICM - Buitendienst Antwerpen - Advies voor risicomanifestaties (PRIMA)</oddHeader>
    <oddFooter>&amp;LProvinciale Commissie voor Dringende Geneeskundige Hulpverlening Antwerpen&amp;C&amp;G&amp;Rcommunicatie : icm.antwerpen@health.fgov.be</oddFooter>
  </headerFooter>
  <rowBreaks count="2" manualBreakCount="2">
    <brk id="8" max="2" man="1"/>
    <brk id="62" max="2" man="1"/>
  </rowBreaks>
  <drawing r:id="rId2"/>
  <legacyDrawingHF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27">
    <tabColor indexed="10"/>
  </sheetPr>
  <dimension ref="B1:K40"/>
  <sheetViews>
    <sheetView workbookViewId="0">
      <selection activeCell="E32" sqref="E32"/>
    </sheetView>
  </sheetViews>
  <sheetFormatPr defaultColWidth="9.1796875" defaultRowHeight="12.5" x14ac:dyDescent="0.25"/>
  <cols>
    <col min="1" max="1" width="2.26953125" style="777" customWidth="1"/>
    <col min="2" max="2" width="20.54296875" style="777" customWidth="1"/>
    <col min="3" max="3" width="4.1796875" style="777" customWidth="1"/>
    <col min="4" max="4" width="64.81640625" style="777" customWidth="1"/>
    <col min="5" max="5" width="41.54296875" style="777" customWidth="1"/>
    <col min="6" max="16384" width="9.1796875" style="777"/>
  </cols>
  <sheetData>
    <row r="1" spans="2:11" ht="13" thickBot="1" x14ac:dyDescent="0.3"/>
    <row r="2" spans="2:11" ht="28.5" customHeight="1" thickBot="1" x14ac:dyDescent="0.65">
      <c r="B2" s="1493" t="s">
        <v>1846</v>
      </c>
      <c r="C2" s="1494"/>
      <c r="D2" s="1494"/>
      <c r="E2" s="1495"/>
    </row>
    <row r="4" spans="2:11" ht="22.5" customHeight="1" x14ac:dyDescent="0.25">
      <c r="B4" s="1496" t="s">
        <v>1847</v>
      </c>
      <c r="C4" s="1496"/>
      <c r="D4" s="1496"/>
      <c r="E4" s="1496"/>
    </row>
    <row r="5" spans="2:11" ht="5.25" customHeight="1" x14ac:dyDescent="0.35">
      <c r="B5" s="1498"/>
      <c r="C5" s="1498"/>
    </row>
    <row r="6" spans="2:11" s="1001" customFormat="1" ht="60" customHeight="1" x14ac:dyDescent="0.5">
      <c r="B6" s="1497" t="s">
        <v>945</v>
      </c>
      <c r="C6" s="1497"/>
      <c r="D6" s="1497"/>
      <c r="E6" s="1497"/>
    </row>
    <row r="7" spans="2:11" s="1001" customFormat="1" ht="8.25" customHeight="1" x14ac:dyDescent="0.5">
      <c r="B7" s="1507"/>
      <c r="C7" s="1507"/>
    </row>
    <row r="8" spans="2:11" s="1001" customFormat="1" ht="30.75" customHeight="1" x14ac:dyDescent="0.5">
      <c r="B8" s="1505" t="s">
        <v>946</v>
      </c>
      <c r="C8" s="1505"/>
      <c r="D8" s="1505"/>
      <c r="E8" s="1505"/>
    </row>
    <row r="9" spans="2:11" s="1001" customFormat="1" ht="25" x14ac:dyDescent="0.5">
      <c r="B9" s="1504" t="s">
        <v>371</v>
      </c>
      <c r="C9" s="1504"/>
      <c r="D9" s="1504"/>
    </row>
    <row r="10" spans="2:11" s="1001" customFormat="1" ht="25" x14ac:dyDescent="0.5">
      <c r="B10" s="1002"/>
      <c r="C10" s="1499" t="s">
        <v>2326</v>
      </c>
      <c r="D10" s="1500"/>
      <c r="E10" s="1501"/>
    </row>
    <row r="11" spans="2:11" s="1001" customFormat="1" ht="12" customHeight="1" x14ac:dyDescent="0.5">
      <c r="B11" s="1002"/>
      <c r="C11" s="1139"/>
      <c r="D11" s="1139"/>
      <c r="E11" s="1139"/>
    </row>
    <row r="12" spans="2:11" s="1001" customFormat="1" ht="18" customHeight="1" x14ac:dyDescent="0.5">
      <c r="B12" s="1003" t="s">
        <v>2226</v>
      </c>
      <c r="C12" s="1511" t="s">
        <v>2327</v>
      </c>
      <c r="D12" s="1511"/>
      <c r="E12" s="1511"/>
      <c r="F12" s="1004"/>
      <c r="G12" s="1506"/>
      <c r="H12" s="1506"/>
      <c r="I12" s="1506"/>
      <c r="J12" s="1506"/>
      <c r="K12" s="1506"/>
    </row>
    <row r="13" spans="2:11" s="517" customFormat="1" ht="17.25" customHeight="1" x14ac:dyDescent="0.25">
      <c r="B13" s="1003" t="s">
        <v>866</v>
      </c>
      <c r="C13" s="1511" t="s">
        <v>2328</v>
      </c>
      <c r="D13" s="1511"/>
      <c r="E13" s="1511"/>
      <c r="F13" s="1004"/>
      <c r="G13" s="1506"/>
      <c r="H13" s="1506"/>
      <c r="I13" s="1506"/>
      <c r="J13" s="1506"/>
      <c r="K13" s="1506"/>
    </row>
    <row r="14" spans="2:11" ht="11.25" customHeight="1" x14ac:dyDescent="0.4">
      <c r="B14" s="1005"/>
    </row>
    <row r="15" spans="2:11" x14ac:dyDescent="0.25">
      <c r="B15" s="1006"/>
    </row>
    <row r="16" spans="2:11" x14ac:dyDescent="0.25">
      <c r="B16" s="1006"/>
    </row>
    <row r="17" spans="2:5" s="1151" customFormat="1" ht="27" customHeight="1" x14ac:dyDescent="0.25">
      <c r="B17" s="1502" t="s">
        <v>1268</v>
      </c>
      <c r="C17" s="1163">
        <v>37</v>
      </c>
      <c r="D17" s="1163" t="s">
        <v>327</v>
      </c>
      <c r="E17" s="1164" t="s">
        <v>497</v>
      </c>
    </row>
    <row r="18" spans="2:5" s="1151" customFormat="1" ht="14" x14ac:dyDescent="0.25">
      <c r="B18" s="1503"/>
      <c r="C18" s="1163">
        <v>38</v>
      </c>
      <c r="D18" s="629" t="s">
        <v>1269</v>
      </c>
      <c r="E18" s="1196" t="s">
        <v>497</v>
      </c>
    </row>
    <row r="19" spans="2:5" s="1151" customFormat="1" ht="25" x14ac:dyDescent="0.25">
      <c r="B19" s="788" t="s">
        <v>1274</v>
      </c>
      <c r="C19" s="788">
        <v>40</v>
      </c>
      <c r="D19" s="788" t="s">
        <v>1450</v>
      </c>
      <c r="E19" s="1164" t="s">
        <v>497</v>
      </c>
    </row>
    <row r="20" spans="2:5" s="1151" customFormat="1" x14ac:dyDescent="0.25">
      <c r="B20" s="1152"/>
      <c r="C20" s="1152"/>
      <c r="D20" s="1152"/>
      <c r="E20" s="1152"/>
    </row>
    <row r="21" spans="2:5" s="1151" customFormat="1" ht="20.25" customHeight="1" x14ac:dyDescent="0.25">
      <c r="B21" s="1512" t="s">
        <v>1277</v>
      </c>
      <c r="C21" s="788">
        <v>52</v>
      </c>
      <c r="D21" s="788" t="s">
        <v>1559</v>
      </c>
      <c r="E21" s="1164" t="s">
        <v>497</v>
      </c>
    </row>
    <row r="22" spans="2:5" s="1151" customFormat="1" ht="20.25" customHeight="1" x14ac:dyDescent="0.25">
      <c r="B22" s="1513"/>
      <c r="C22" s="788">
        <v>54</v>
      </c>
      <c r="D22" s="788" t="s">
        <v>1562</v>
      </c>
      <c r="E22" s="1164" t="s">
        <v>497</v>
      </c>
    </row>
    <row r="23" spans="2:5" s="1151" customFormat="1" x14ac:dyDescent="0.25">
      <c r="B23" s="1153"/>
      <c r="C23" s="1152"/>
      <c r="D23" s="1152"/>
      <c r="E23" s="1152"/>
    </row>
    <row r="24" spans="2:5" s="1155" customFormat="1" x14ac:dyDescent="0.25">
      <c r="B24" s="1514" t="s">
        <v>1572</v>
      </c>
      <c r="C24" s="788">
        <v>67</v>
      </c>
      <c r="D24" s="1154" t="s">
        <v>138</v>
      </c>
      <c r="E24" s="1165" t="s">
        <v>497</v>
      </c>
    </row>
    <row r="25" spans="2:5" s="1155" customFormat="1" x14ac:dyDescent="0.25">
      <c r="B25" s="1514"/>
      <c r="C25" s="1156">
        <v>68</v>
      </c>
      <c r="D25" s="1156" t="s">
        <v>2095</v>
      </c>
      <c r="E25" s="1165" t="s">
        <v>497</v>
      </c>
    </row>
    <row r="26" spans="2:5" s="1155" customFormat="1" x14ac:dyDescent="0.25">
      <c r="B26" s="1514"/>
      <c r="C26" s="1156">
        <v>69</v>
      </c>
      <c r="D26" s="1156" t="s">
        <v>1571</v>
      </c>
      <c r="E26" s="1165" t="s">
        <v>497</v>
      </c>
    </row>
    <row r="27" spans="2:5" s="1155" customFormat="1" ht="13" thickBot="1" x14ac:dyDescent="0.3">
      <c r="B27" s="1162"/>
      <c r="C27" s="1162"/>
      <c r="D27" s="1162"/>
      <c r="E27" s="1162"/>
    </row>
    <row r="28" spans="2:5" s="1155" customFormat="1" ht="13" thickBot="1" x14ac:dyDescent="0.3">
      <c r="B28" s="1508" t="s">
        <v>249</v>
      </c>
      <c r="C28" s="1509"/>
      <c r="D28" s="1509"/>
      <c r="E28" s="1510"/>
    </row>
    <row r="29" spans="2:5" s="1155" customFormat="1" ht="28.5" thickBot="1" x14ac:dyDescent="0.3">
      <c r="B29" s="1477" t="s">
        <v>205</v>
      </c>
      <c r="C29" s="557">
        <v>70</v>
      </c>
      <c r="D29" s="628" t="s">
        <v>1107</v>
      </c>
      <c r="E29" s="1159" t="str">
        <f>IF(LUIK5!F13&lt;&gt;0,"neen","ja")</f>
        <v>neen</v>
      </c>
    </row>
    <row r="30" spans="2:5" s="1155" customFormat="1" ht="16" thickBot="1" x14ac:dyDescent="0.3">
      <c r="B30" s="1453"/>
      <c r="C30" s="594">
        <v>71</v>
      </c>
      <c r="D30" s="631" t="s">
        <v>206</v>
      </c>
      <c r="E30" s="1160" t="s">
        <v>245</v>
      </c>
    </row>
    <row r="31" spans="2:5" s="1155" customFormat="1" ht="13" thickBot="1" x14ac:dyDescent="0.3">
      <c r="B31" s="531"/>
      <c r="C31" s="550"/>
      <c r="D31" s="550"/>
      <c r="E31" s="596"/>
    </row>
    <row r="32" spans="2:5" s="1155" customFormat="1" ht="28.5" thickBot="1" x14ac:dyDescent="0.3">
      <c r="B32" s="619" t="s">
        <v>198</v>
      </c>
      <c r="C32" s="607">
        <v>72</v>
      </c>
      <c r="D32" s="637" t="s">
        <v>498</v>
      </c>
      <c r="E32" s="1161" t="str">
        <f>IF(LUIK5!F13&lt;&gt;0,"ja","NEEN")</f>
        <v>ja</v>
      </c>
    </row>
    <row r="33" s="1155" customFormat="1" x14ac:dyDescent="0.25"/>
    <row r="34" s="1155" customFormat="1" x14ac:dyDescent="0.25"/>
    <row r="35" s="1155" customFormat="1" x14ac:dyDescent="0.25"/>
    <row r="36" s="1155" customFormat="1" x14ac:dyDescent="0.25"/>
    <row r="37" s="1155" customFormat="1" x14ac:dyDescent="0.25"/>
    <row r="38" s="1155" customFormat="1" x14ac:dyDescent="0.25"/>
    <row r="39" s="1155" customFormat="1" x14ac:dyDescent="0.25"/>
    <row r="40" s="1155" customFormat="1" x14ac:dyDescent="0.25"/>
  </sheetData>
  <sheetProtection sheet="1"/>
  <mergeCells count="17">
    <mergeCell ref="G12:K12"/>
    <mergeCell ref="G13:K13"/>
    <mergeCell ref="B7:C7"/>
    <mergeCell ref="B28:E28"/>
    <mergeCell ref="C12:E12"/>
    <mergeCell ref="C13:E13"/>
    <mergeCell ref="B21:B22"/>
    <mergeCell ref="B24:B26"/>
    <mergeCell ref="B2:E2"/>
    <mergeCell ref="B4:E4"/>
    <mergeCell ref="B6:E6"/>
    <mergeCell ref="B29:B30"/>
    <mergeCell ref="B5:C5"/>
    <mergeCell ref="C10:E10"/>
    <mergeCell ref="B17:B18"/>
    <mergeCell ref="B9:D9"/>
    <mergeCell ref="B8:E8"/>
  </mergeCells>
  <phoneticPr fontId="2" type="noConversion"/>
  <conditionalFormatting sqref="E24:E26 E21:E22 E17:E18">
    <cfRule type="cellIs" dxfId="11" priority="1" stopIfTrue="1" operator="equal">
      <formula>"In te vullen door de rampenambtenaar"</formula>
    </cfRule>
    <cfRule type="cellIs" dxfId="10" priority="2" stopIfTrue="1" operator="notEqual">
      <formula>"Maak uw keuze"</formula>
    </cfRule>
  </conditionalFormatting>
  <conditionalFormatting sqref="E19">
    <cfRule type="cellIs" dxfId="9" priority="3" stopIfTrue="1" operator="equal">
      <formula>"In te vullen door de rampenambtenaar"</formula>
    </cfRule>
    <cfRule type="cellIs" dxfId="8" priority="4" stopIfTrue="1" operator="notEqual">
      <formula>"Maak uw keue"</formula>
    </cfRule>
  </conditionalFormatting>
  <conditionalFormatting sqref="G12:G13 H12:K12">
    <cfRule type="cellIs" dxfId="7" priority="5" stopIfTrue="1" operator="notEqual">
      <formula>""</formula>
    </cfRule>
  </conditionalFormatting>
  <conditionalFormatting sqref="E32">
    <cfRule type="cellIs" dxfId="6" priority="6" stopIfTrue="1" operator="notEqual">
      <formula>"maak uw keuze"</formula>
    </cfRule>
  </conditionalFormatting>
  <conditionalFormatting sqref="E29">
    <cfRule type="cellIs" dxfId="5" priority="7" stopIfTrue="1" operator="equal">
      <formula>"In te vullen door de rampenambtenaar"</formula>
    </cfRule>
    <cfRule type="cellIs" dxfId="4" priority="8" stopIfTrue="1" operator="equal">
      <formula>"neen"</formula>
    </cfRule>
    <cfRule type="cellIs" dxfId="3" priority="9" stopIfTrue="1" operator="notEqual">
      <formula>"Maak uw keuze"</formula>
    </cfRule>
  </conditionalFormatting>
  <conditionalFormatting sqref="E30">
    <cfRule type="cellIs" dxfId="2" priority="10" stopIfTrue="1" operator="equal">
      <formula>"In te vullen door FOD"</formula>
    </cfRule>
    <cfRule type="cellIs" dxfId="1" priority="11" stopIfTrue="1" operator="notEqual">
      <formula>"Maak uw keuze"</formula>
    </cfRule>
  </conditionalFormatting>
  <dataValidations count="9">
    <dataValidation type="list" allowBlank="1" showInputMessage="1" showErrorMessage="1" sqref="E24:E26" xr:uid="{00000000-0002-0000-0900-000000000000}">
      <formula1>"Maak uw keuze,In te vullen door de rampenambtenaar,ja,neen,onbekend,niet van toepassing"</formula1>
    </dataValidation>
    <dataValidation type="list" allowBlank="1" showInputMessage="1" showErrorMessage="1" sqref="E22" xr:uid="{00000000-0002-0000-0900-000001000000}">
      <formula1>"Maak uw keuze,In te vullen door de rampenambtenaar,ja,neen,onbekend"</formula1>
    </dataValidation>
    <dataValidation type="list" allowBlank="1" showInputMessage="1" showErrorMessage="1" sqref="E21" xr:uid="{00000000-0002-0000-0900-000002000000}">
      <formula1>"Maak uw keuze,In te vullen door de rampenambtenaar,neen of niet gekend,ja"</formula1>
    </dataValidation>
    <dataValidation type="list" allowBlank="1" showInputMessage="1" showErrorMessage="1" sqref="E19" xr:uid="{00000000-0002-0000-0900-000003000000}">
      <formula1>"Maak uw keuze,In te vullen door de rampenambtenaar,ja (enkel wanneer dit meegedeeld werd),neen,onbekend"</formula1>
    </dataValidation>
    <dataValidation type="list" allowBlank="1" showInputMessage="1" showErrorMessage="1" sqref="E17" xr:uid="{00000000-0002-0000-0900-000004000000}">
      <formula1>"Maak uw keuze,In te vullen door de rampenambtenaar,OK, niet OK en/of onbekend"</formula1>
    </dataValidation>
    <dataValidation type="list" allowBlank="1" showInputMessage="1" showErrorMessage="1" sqref="E30" xr:uid="{00000000-0002-0000-0900-000005000000}">
      <formula1>"Maak uw keuze,In te vullen door FOD,ja,neen,niet van toepassing,onbekend"</formula1>
    </dataValidation>
    <dataValidation type="list" allowBlank="1" showInputMessage="1" showErrorMessage="1" sqref="E29" xr:uid="{00000000-0002-0000-0900-000006000000}">
      <formula1>"Maak uw keuze,In te vullen door de rampenambtenaar,ja,neen,niet van toepassing,onbekend"</formula1>
    </dataValidation>
    <dataValidation type="list" allowBlank="1" showInputMessage="1" showErrorMessage="1" sqref="E32" xr:uid="{00000000-0002-0000-0900-000007000000}">
      <formula1>"Maak uw keuze,ja,neen,onbekend,niet van toepassing"</formula1>
    </dataValidation>
    <dataValidation type="list" allowBlank="1" showInputMessage="1" showErrorMessage="1" sqref="E18" xr:uid="{00000000-0002-0000-0900-000008000000}">
      <formula1>"Maak uw keuze,In te vullen door de rampenambtenaar,10 maal of meer,4 tot 9 maal,3 maal of minder,onbekend"</formula1>
    </dataValidation>
  </dataValidations>
  <hyperlinks>
    <hyperlink ref="C10" r:id="rId1" xr:uid="{00000000-0004-0000-0900-000000000000}"/>
  </hyperlinks>
  <pageMargins left="0.75" right="0.75" top="1" bottom="1" header="0.5" footer="0.5"/>
  <pageSetup orientation="portrait" r:id="rId2"/>
  <headerFooter alignWithMargins="0"/>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6">
    <tabColor indexed="17"/>
  </sheetPr>
  <dimension ref="A1:J25"/>
  <sheetViews>
    <sheetView zoomScale="75" zoomScaleNormal="100" workbookViewId="0">
      <selection activeCell="N23" sqref="N23"/>
    </sheetView>
  </sheetViews>
  <sheetFormatPr defaultColWidth="9.1796875" defaultRowHeight="12.5" x14ac:dyDescent="0.25"/>
  <cols>
    <col min="1" max="1" width="12.7265625" style="476" bestFit="1" customWidth="1"/>
    <col min="2" max="2" width="14.1796875" style="476" bestFit="1" customWidth="1"/>
    <col min="3" max="3" width="18.81640625" style="476" bestFit="1" customWidth="1"/>
    <col min="4" max="4" width="19.54296875" style="476" bestFit="1" customWidth="1"/>
    <col min="5" max="5" width="8.1796875" style="476" customWidth="1"/>
    <col min="6" max="6" width="7.453125" style="476" customWidth="1"/>
    <col min="7" max="7" width="20.1796875" style="476" customWidth="1"/>
    <col min="8" max="8" width="12" style="476" customWidth="1"/>
    <col min="9" max="9" width="11.26953125" style="476" bestFit="1" customWidth="1"/>
    <col min="10" max="10" width="13.453125" style="476" bestFit="1" customWidth="1"/>
    <col min="11" max="13" width="9.1796875" style="476"/>
    <col min="14" max="14" width="53.81640625" style="476" customWidth="1"/>
    <col min="15" max="16384" width="9.1796875" style="476"/>
  </cols>
  <sheetData>
    <row r="1" spans="1:10" ht="23.25" customHeight="1" x14ac:dyDescent="0.45">
      <c r="A1" s="1530" t="s">
        <v>401</v>
      </c>
      <c r="B1" s="1530"/>
      <c r="C1" s="1530"/>
      <c r="D1" s="1530"/>
      <c r="E1" s="1530"/>
      <c r="F1" s="1530"/>
      <c r="G1" s="1530"/>
      <c r="H1" s="1530"/>
      <c r="I1" s="1530"/>
      <c r="J1" s="1530"/>
    </row>
    <row r="2" spans="1:10" s="968" customFormat="1" ht="15.5" x14ac:dyDescent="0.35">
      <c r="A2" s="1536">
        <f>'LUIK 1 - AANVRAAG'!$G$5</f>
        <v>0</v>
      </c>
      <c r="B2" s="1536"/>
      <c r="C2" s="1536"/>
      <c r="D2" s="1536"/>
      <c r="E2" s="1536"/>
      <c r="F2" s="1536"/>
      <c r="G2" s="1536"/>
      <c r="H2" s="1533">
        <f>'LUIK 1 - AANVRAAG'!$G$4</f>
        <v>0</v>
      </c>
      <c r="I2" s="1533"/>
      <c r="J2" s="1533"/>
    </row>
    <row r="3" spans="1:10" s="969" customFormat="1" ht="15.5" x14ac:dyDescent="0.35">
      <c r="A3" s="1531" t="s">
        <v>764</v>
      </c>
      <c r="B3" s="1531"/>
      <c r="C3" s="1532">
        <f>'LUIK 1 - AANVRAAG'!$G$7</f>
        <v>0</v>
      </c>
      <c r="D3" s="1532"/>
      <c r="E3" s="982" t="s">
        <v>1238</v>
      </c>
      <c r="F3" s="981">
        <f>'LUIK 1 - AANVRAAG'!$J$7</f>
        <v>0</v>
      </c>
      <c r="G3" s="1534">
        <f>'LUIK 1 - AANVRAAG'!$G$3</f>
        <v>0</v>
      </c>
      <c r="H3" s="1535"/>
      <c r="I3" s="1535"/>
      <c r="J3" s="1535"/>
    </row>
    <row r="4" spans="1:10" s="969" customFormat="1" ht="15.5" x14ac:dyDescent="0.35">
      <c r="A4" s="1531" t="s">
        <v>1239</v>
      </c>
      <c r="B4" s="1531"/>
      <c r="C4" s="1536" t="str">
        <f>'LUIK 1 - AANVRAAG'!$G$6</f>
        <v>Maak uw keuze</v>
      </c>
      <c r="D4" s="1536"/>
      <c r="E4" s="1536"/>
      <c r="F4" s="1531" t="s">
        <v>1240</v>
      </c>
      <c r="G4" s="1531"/>
      <c r="H4" s="1531"/>
      <c r="I4" s="1537">
        <f>'LUIK 1 - AANVRAAG'!$K$8</f>
        <v>0</v>
      </c>
      <c r="J4" s="1538"/>
    </row>
    <row r="5" spans="1:10" s="969" customFormat="1" ht="6" customHeight="1" thickBot="1" x14ac:dyDescent="0.4">
      <c r="A5" s="970"/>
      <c r="B5" s="970"/>
      <c r="C5" s="970"/>
      <c r="D5" s="970"/>
      <c r="E5" s="970"/>
      <c r="F5" s="970"/>
      <c r="G5" s="970"/>
      <c r="H5" s="970"/>
      <c r="I5" s="971"/>
      <c r="J5" s="972"/>
    </row>
    <row r="6" spans="1:10" s="973" customFormat="1" ht="16.5" customHeight="1" x14ac:dyDescent="0.25">
      <c r="A6" s="1541" t="s">
        <v>71</v>
      </c>
      <c r="B6" s="1542"/>
      <c r="C6" s="1542"/>
      <c r="D6" s="1542"/>
      <c r="E6" s="1543"/>
      <c r="F6" s="1544" t="s">
        <v>70</v>
      </c>
      <c r="G6" s="1545"/>
      <c r="H6" s="1545"/>
      <c r="I6" s="1545"/>
      <c r="J6" s="1545"/>
    </row>
    <row r="7" spans="1:10" s="973" customFormat="1" ht="15.5" x14ac:dyDescent="0.25">
      <c r="A7" s="1524" t="s">
        <v>1612</v>
      </c>
      <c r="B7" s="1525"/>
      <c r="C7" s="1525"/>
      <c r="D7" s="1525"/>
      <c r="E7" s="980"/>
      <c r="G7" s="974">
        <f>'LUIK 1 - AANVRAAG'!I14</f>
        <v>0</v>
      </c>
    </row>
    <row r="8" spans="1:10" s="973" customFormat="1" ht="33.75" customHeight="1" x14ac:dyDescent="0.25">
      <c r="A8" s="1524" t="s">
        <v>68</v>
      </c>
      <c r="B8" s="1525"/>
      <c r="C8" s="1525"/>
      <c r="D8" s="1525"/>
      <c r="E8" s="980"/>
      <c r="G8" s="975">
        <f>'LUIK3 + SCORE'!E53*'LUIK3 + SCORE'!E51/100</f>
        <v>0</v>
      </c>
      <c r="H8" s="975">
        <f>'LUIK3 + SCORE'!E53</f>
        <v>0</v>
      </c>
      <c r="I8" s="1540" t="s">
        <v>82</v>
      </c>
      <c r="J8" s="1540"/>
    </row>
    <row r="9" spans="1:10" s="973" customFormat="1" ht="22.5" customHeight="1" thickBot="1" x14ac:dyDescent="0.3">
      <c r="A9" s="1526" t="s">
        <v>69</v>
      </c>
      <c r="B9" s="1527"/>
      <c r="C9" s="1527"/>
      <c r="D9" s="1527"/>
      <c r="E9" s="815"/>
      <c r="G9" s="975">
        <f>'LUIK 1 - AANVRAAG'!I20*SUM('LUIK 1 - AANVRAAG'!I14:I18)/100</f>
        <v>0</v>
      </c>
      <c r="H9" s="975">
        <f>'LUIK 1 - AANVRAAG'!I20</f>
        <v>0</v>
      </c>
      <c r="I9" s="1540" t="s">
        <v>81</v>
      </c>
      <c r="J9" s="1540"/>
    </row>
    <row r="10" spans="1:10" s="973" customFormat="1" ht="5.25" customHeight="1" thickBot="1" x14ac:dyDescent="0.3">
      <c r="A10" s="976"/>
    </row>
    <row r="11" spans="1:10" s="973" customFormat="1" ht="15.75" customHeight="1" x14ac:dyDescent="0.25">
      <c r="A11" s="1519" t="s">
        <v>72</v>
      </c>
      <c r="B11" s="1520"/>
      <c r="C11" s="1520"/>
      <c r="D11" s="1520"/>
      <c r="E11" s="1521"/>
    </row>
    <row r="12" spans="1:10" s="973" customFormat="1" ht="30.75" customHeight="1" x14ac:dyDescent="0.25">
      <c r="A12" s="1524" t="s">
        <v>73</v>
      </c>
      <c r="B12" s="1525"/>
      <c r="C12" s="1525"/>
      <c r="D12" s="1525"/>
      <c r="E12" s="980"/>
      <c r="G12" s="974">
        <f>'deel 1 brief'!D25</f>
        <v>0</v>
      </c>
    </row>
    <row r="13" spans="1:10" s="973" customFormat="1" ht="15.5" x14ac:dyDescent="0.25">
      <c r="A13" s="1524" t="s">
        <v>74</v>
      </c>
      <c r="B13" s="1525"/>
      <c r="C13" s="1525"/>
      <c r="D13" s="1525"/>
      <c r="E13" s="980"/>
      <c r="G13" s="974">
        <f>'deel 1 brief'!D26</f>
        <v>0</v>
      </c>
    </row>
    <row r="14" spans="1:10" s="973" customFormat="1" ht="30.75" customHeight="1" x14ac:dyDescent="0.25">
      <c r="A14" s="1524" t="s">
        <v>75</v>
      </c>
      <c r="B14" s="1525"/>
      <c r="C14" s="1525"/>
      <c r="D14" s="1525"/>
      <c r="E14" s="980"/>
      <c r="G14" s="977">
        <f>'deel 1 brief'!D27</f>
        <v>0</v>
      </c>
    </row>
    <row r="15" spans="1:10" s="973" customFormat="1" ht="30.75" customHeight="1" x14ac:dyDescent="0.25">
      <c r="A15" s="1524" t="s">
        <v>1891</v>
      </c>
      <c r="B15" s="1525"/>
      <c r="C15" s="1525"/>
      <c r="D15" s="1525"/>
      <c r="E15" s="980"/>
      <c r="G15" s="1539" t="s">
        <v>83</v>
      </c>
      <c r="H15" s="1539"/>
      <c r="I15" s="1539"/>
      <c r="J15" s="1539"/>
    </row>
    <row r="16" spans="1:10" s="973" customFormat="1" ht="48.75" customHeight="1" thickBot="1" x14ac:dyDescent="0.3">
      <c r="A16" s="1526" t="s">
        <v>1892</v>
      </c>
      <c r="B16" s="1527"/>
      <c r="C16" s="1527"/>
      <c r="D16" s="1527"/>
      <c r="E16" s="815"/>
      <c r="G16" s="1539" t="s">
        <v>83</v>
      </c>
      <c r="H16" s="1539"/>
      <c r="I16" s="1539"/>
      <c r="J16" s="1539"/>
    </row>
    <row r="17" spans="1:10" s="973" customFormat="1" ht="5.25" customHeight="1" thickBot="1" x14ac:dyDescent="0.3">
      <c r="A17" s="976"/>
    </row>
    <row r="18" spans="1:10" s="973" customFormat="1" ht="15.75" customHeight="1" x14ac:dyDescent="0.25">
      <c r="A18" s="1519" t="s">
        <v>76</v>
      </c>
      <c r="B18" s="1520"/>
      <c r="C18" s="1520"/>
      <c r="D18" s="1520"/>
      <c r="E18" s="1520"/>
      <c r="F18" s="1520"/>
      <c r="G18" s="1520"/>
      <c r="H18" s="1520"/>
      <c r="I18" s="1521"/>
    </row>
    <row r="19" spans="1:10" s="973" customFormat="1" ht="15.5" x14ac:dyDescent="0.25">
      <c r="A19" s="1524" t="s">
        <v>77</v>
      </c>
      <c r="B19" s="1525"/>
      <c r="C19" s="1525"/>
      <c r="D19" s="1525"/>
      <c r="E19" s="1522" t="s">
        <v>1540</v>
      </c>
      <c r="F19" s="1522"/>
      <c r="G19" s="1522"/>
      <c r="H19" s="1522"/>
      <c r="I19" s="1523"/>
      <c r="J19" s="978"/>
    </row>
    <row r="20" spans="1:10" s="973" customFormat="1" ht="15.5" x14ac:dyDescent="0.25">
      <c r="A20" s="1524" t="s">
        <v>78</v>
      </c>
      <c r="B20" s="1525"/>
      <c r="C20" s="1525"/>
      <c r="D20" s="1525"/>
      <c r="E20" s="1522" t="s">
        <v>1540</v>
      </c>
      <c r="F20" s="1522"/>
      <c r="G20" s="1522"/>
      <c r="H20" s="1522"/>
      <c r="I20" s="1523"/>
      <c r="J20" s="978"/>
    </row>
    <row r="21" spans="1:10" s="973" customFormat="1" ht="15.5" x14ac:dyDescent="0.25">
      <c r="A21" s="1524" t="s">
        <v>79</v>
      </c>
      <c r="B21" s="1525"/>
      <c r="C21" s="1525"/>
      <c r="D21" s="1525"/>
      <c r="E21" s="1522" t="s">
        <v>1540</v>
      </c>
      <c r="F21" s="1522"/>
      <c r="G21" s="1522"/>
      <c r="H21" s="1522"/>
      <c r="I21" s="1523"/>
      <c r="J21" s="978"/>
    </row>
    <row r="22" spans="1:10" s="973" customFormat="1" ht="16" thickBot="1" x14ac:dyDescent="0.3">
      <c r="A22" s="1526" t="s">
        <v>80</v>
      </c>
      <c r="B22" s="1527"/>
      <c r="C22" s="1527"/>
      <c r="D22" s="1527"/>
      <c r="E22" s="1528" t="s">
        <v>1540</v>
      </c>
      <c r="F22" s="1528"/>
      <c r="G22" s="1528"/>
      <c r="H22" s="1528"/>
      <c r="I22" s="1529"/>
      <c r="J22" s="978"/>
    </row>
    <row r="23" spans="1:10" ht="15.5" x14ac:dyDescent="0.35">
      <c r="A23" s="968"/>
      <c r="G23" s="979"/>
      <c r="H23" s="979"/>
      <c r="I23" s="979"/>
      <c r="J23" s="979"/>
    </row>
    <row r="24" spans="1:10" ht="15.5" x14ac:dyDescent="0.35">
      <c r="A24" s="1515" t="s">
        <v>1842</v>
      </c>
      <c r="B24" s="1515"/>
      <c r="C24" s="1515"/>
      <c r="D24" s="1515"/>
      <c r="E24" s="1515"/>
      <c r="F24" s="1515"/>
      <c r="G24" s="1515"/>
      <c r="H24" s="1515"/>
      <c r="I24" s="1515"/>
    </row>
    <row r="25" spans="1:10" ht="64.5" customHeight="1" x14ac:dyDescent="0.25">
      <c r="A25" s="1516" t="s">
        <v>1843</v>
      </c>
      <c r="B25" s="1517"/>
      <c r="C25" s="1517"/>
      <c r="D25" s="1517"/>
      <c r="E25" s="1517"/>
      <c r="F25" s="1517"/>
      <c r="G25" s="1517"/>
      <c r="H25" s="1517"/>
      <c r="I25" s="1518"/>
    </row>
  </sheetData>
  <sheetProtection password="C534" sheet="1" objects="1" scenarios="1"/>
  <mergeCells count="36">
    <mergeCell ref="I4:J4"/>
    <mergeCell ref="A20:D20"/>
    <mergeCell ref="A4:B4"/>
    <mergeCell ref="C4:E4"/>
    <mergeCell ref="G15:J15"/>
    <mergeCell ref="G16:J16"/>
    <mergeCell ref="A14:D14"/>
    <mergeCell ref="A8:D8"/>
    <mergeCell ref="F4:H4"/>
    <mergeCell ref="I8:J8"/>
    <mergeCell ref="A9:D9"/>
    <mergeCell ref="A6:E6"/>
    <mergeCell ref="A7:D7"/>
    <mergeCell ref="F6:J6"/>
    <mergeCell ref="I9:J9"/>
    <mergeCell ref="A1:J1"/>
    <mergeCell ref="A3:B3"/>
    <mergeCell ref="C3:D3"/>
    <mergeCell ref="H2:J2"/>
    <mergeCell ref="G3:J3"/>
    <mergeCell ref="A2:G2"/>
    <mergeCell ref="A24:I24"/>
    <mergeCell ref="A25:I25"/>
    <mergeCell ref="A11:E11"/>
    <mergeCell ref="E19:I19"/>
    <mergeCell ref="E20:I20"/>
    <mergeCell ref="A18:I18"/>
    <mergeCell ref="A12:D12"/>
    <mergeCell ref="A13:D13"/>
    <mergeCell ref="A19:D19"/>
    <mergeCell ref="A15:D15"/>
    <mergeCell ref="A16:D16"/>
    <mergeCell ref="A21:D21"/>
    <mergeCell ref="A22:D22"/>
    <mergeCell ref="E21:I21"/>
    <mergeCell ref="E22:I22"/>
  </mergeCells>
  <phoneticPr fontId="2" type="noConversion"/>
  <dataValidations count="4">
    <dataValidation type="list" allowBlank="1" showInputMessage="1" showErrorMessage="1" sqref="E19:I19" xr:uid="{00000000-0002-0000-0A00-000000000000}">
      <formula1>Temperatuur</formula1>
    </dataValidation>
    <dataValidation type="list" allowBlank="1" showInputMessage="1" showErrorMessage="1" sqref="E20:I20" xr:uid="{00000000-0002-0000-0A00-000001000000}">
      <formula1>Alcohol</formula1>
    </dataValidation>
    <dataValidation type="list" allowBlank="1" showInputMessage="1" showErrorMessage="1" sqref="E21:I21" xr:uid="{00000000-0002-0000-0A00-000002000000}">
      <formula1>Drugs</formula1>
    </dataValidation>
    <dataValidation type="list" allowBlank="1" showInputMessage="1" showErrorMessage="1" sqref="E22:I22" xr:uid="{00000000-0002-0000-0A00-000003000000}">
      <formula1>Leeftijd</formula1>
    </dataValidation>
  </dataValidations>
  <pageMargins left="0.26" right="0.14000000000000001" top="1" bottom="1" header="0.14000000000000001" footer="0.24"/>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28">
    <tabColor indexed="8"/>
  </sheetPr>
  <dimension ref="A1:G27"/>
  <sheetViews>
    <sheetView workbookViewId="0">
      <selection activeCell="B2" sqref="B2:C2"/>
    </sheetView>
  </sheetViews>
  <sheetFormatPr defaultColWidth="9.1796875" defaultRowHeight="12.5" x14ac:dyDescent="0.25"/>
  <cols>
    <col min="1" max="1" width="9.453125" style="708" customWidth="1"/>
    <col min="2" max="2" width="7.7265625" style="708" customWidth="1"/>
    <col min="3" max="3" width="108" style="708" customWidth="1"/>
    <col min="4" max="16384" width="9.1796875" style="708"/>
  </cols>
  <sheetData>
    <row r="1" spans="2:7" ht="13" thickBot="1" x14ac:dyDescent="0.3"/>
    <row r="2" spans="2:7" ht="28.5" thickBot="1" x14ac:dyDescent="0.65">
      <c r="B2" s="1546" t="s">
        <v>1846</v>
      </c>
      <c r="C2" s="1547"/>
    </row>
    <row r="4" spans="2:7" s="754" customFormat="1" ht="54" customHeight="1" x14ac:dyDescent="0.5">
      <c r="B4" s="1548" t="s">
        <v>947</v>
      </c>
      <c r="C4" s="1548"/>
    </row>
    <row r="5" spans="2:7" s="780" customFormat="1" ht="17.5" x14ac:dyDescent="0.25">
      <c r="B5" s="908"/>
      <c r="C5" s="907"/>
      <c r="D5" s="782"/>
      <c r="E5" s="782"/>
      <c r="F5" s="782"/>
      <c r="G5" s="782"/>
    </row>
    <row r="6" spans="2:7" ht="18" x14ac:dyDescent="0.4">
      <c r="B6" s="909"/>
    </row>
    <row r="7" spans="2:7" x14ac:dyDescent="0.25">
      <c r="B7" s="910"/>
    </row>
    <row r="8" spans="2:7" x14ac:dyDescent="0.25">
      <c r="B8" s="910"/>
    </row>
    <row r="19" spans="1:3" hidden="1" x14ac:dyDescent="0.25"/>
    <row r="20" spans="1:3" hidden="1" x14ac:dyDescent="0.25">
      <c r="B20" s="1147">
        <f>'LUIK 4 - RISICO''S VGZ'!$D$51</f>
        <v>0</v>
      </c>
      <c r="C20" s="708" t="s">
        <v>1054</v>
      </c>
    </row>
    <row r="21" spans="1:3" hidden="1" x14ac:dyDescent="0.25">
      <c r="B21" s="985" t="str">
        <f>'LUIK3 + SCORE'!$F$125</f>
        <v>?</v>
      </c>
      <c r="C21" s="708" t="s">
        <v>1053</v>
      </c>
    </row>
    <row r="22" spans="1:3" hidden="1" x14ac:dyDescent="0.25"/>
    <row r="23" spans="1:3" hidden="1" x14ac:dyDescent="0.25"/>
    <row r="24" spans="1:3" hidden="1" x14ac:dyDescent="0.25">
      <c r="A24" s="623" t="str">
        <f>'LUIK3 + SCORE'!E121</f>
        <v>controle invullen luik 1</v>
      </c>
      <c r="B24" s="624">
        <f>'LUIK3 + SCORE'!F121</f>
        <v>1</v>
      </c>
    </row>
    <row r="25" spans="1:3" hidden="1" x14ac:dyDescent="0.25">
      <c r="A25" s="623" t="str">
        <f>'LUIK3 + SCORE'!E122</f>
        <v>controle invullen luik 2</v>
      </c>
      <c r="B25" s="624">
        <f>'LUIK3 + SCORE'!F122</f>
        <v>1</v>
      </c>
    </row>
    <row r="26" spans="1:3" hidden="1" x14ac:dyDescent="0.25">
      <c r="A26" s="623" t="str">
        <f>'LUIK3 + SCORE'!E123</f>
        <v>contorle invullen luik4</v>
      </c>
      <c r="B26" s="624">
        <f>'LUIK3 + SCORE'!F123</f>
        <v>1</v>
      </c>
    </row>
    <row r="27" spans="1:3" ht="37.5" hidden="1" x14ac:dyDescent="0.25">
      <c r="A27" s="625" t="str">
        <f>'LUIK3 + SCORE'!E124</f>
        <v>controle invullen luik 3</v>
      </c>
      <c r="B27" s="624">
        <f>'LUIK3 + SCORE'!F124</f>
        <v>1</v>
      </c>
    </row>
  </sheetData>
  <sheetProtection password="C534" sheet="1" objects="1" scenarios="1"/>
  <mergeCells count="2">
    <mergeCell ref="B2:C2"/>
    <mergeCell ref="B4:C4"/>
  </mergeCells>
  <phoneticPr fontId="2" type="noConversion"/>
  <pageMargins left="0.75" right="0.75" top="1" bottom="1" header="0.5" footer="0.5"/>
  <pageSetup orientation="portrait" r:id="rId1"/>
  <headerFooter alignWithMargins="0"/>
  <drawing r:id="rId2"/>
  <legacyDrawing r:id="rId3"/>
  <controls>
    <mc:AlternateContent xmlns:mc="http://schemas.openxmlformats.org/markup-compatibility/2006">
      <mc:Choice Requires="x14">
        <control shapeId="33793" r:id="rId4" name="CommandButton1">
          <controlPr defaultSize="0" autoLine="0" r:id="rId5">
            <anchor moveWithCells="1">
              <from>
                <xdr:col>2</xdr:col>
                <xdr:colOff>1962150</xdr:colOff>
                <xdr:row>5</xdr:row>
                <xdr:rowOff>165100</xdr:rowOff>
              </from>
              <to>
                <xdr:col>2</xdr:col>
                <xdr:colOff>4413250</xdr:colOff>
                <xdr:row>11</xdr:row>
                <xdr:rowOff>82550</xdr:rowOff>
              </to>
            </anchor>
          </controlPr>
        </control>
      </mc:Choice>
      <mc:Fallback>
        <control shapeId="33793" r:id="rId4" name="CommandButton1"/>
      </mc:Fallback>
    </mc:AlternateContent>
  </control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8">
    <tabColor indexed="8"/>
  </sheetPr>
  <dimension ref="A1:G23"/>
  <sheetViews>
    <sheetView workbookViewId="0">
      <selection activeCell="B2" sqref="B2:C2"/>
    </sheetView>
  </sheetViews>
  <sheetFormatPr defaultColWidth="9.1796875" defaultRowHeight="12.5" x14ac:dyDescent="0.25"/>
  <cols>
    <col min="1" max="1" width="5.26953125" style="708" customWidth="1"/>
    <col min="2" max="3" width="66.1796875" style="708" customWidth="1"/>
    <col min="4" max="16384" width="9.1796875" style="708"/>
  </cols>
  <sheetData>
    <row r="1" spans="1:7" ht="7.5" customHeight="1" thickBot="1" x14ac:dyDescent="0.3"/>
    <row r="2" spans="1:7" ht="28.5" thickBot="1" x14ac:dyDescent="0.65">
      <c r="B2" s="1546" t="s">
        <v>1846</v>
      </c>
      <c r="C2" s="1547"/>
    </row>
    <row r="3" spans="1:7" ht="25.5" customHeight="1" x14ac:dyDescent="0.35">
      <c r="B3" s="1549" t="s">
        <v>1847</v>
      </c>
      <c r="C3" s="1549"/>
    </row>
    <row r="4" spans="1:7" s="754" customFormat="1" ht="25.5" thickBot="1" x14ac:dyDescent="0.55000000000000004">
      <c r="B4" s="1556" t="s">
        <v>943</v>
      </c>
      <c r="C4" s="1556"/>
    </row>
    <row r="5" spans="1:7" s="754" customFormat="1" ht="72" customHeight="1" thickBot="1" x14ac:dyDescent="0.55000000000000004">
      <c r="A5" s="1553"/>
      <c r="B5" s="1554"/>
      <c r="C5" s="1555"/>
    </row>
    <row r="6" spans="1:7" s="780" customFormat="1" ht="46.5" x14ac:dyDescent="0.25">
      <c r="B6" s="781" t="s">
        <v>944</v>
      </c>
      <c r="C6" s="1019" t="s">
        <v>1162</v>
      </c>
      <c r="D6" s="782"/>
      <c r="E6" s="782"/>
      <c r="F6" s="782"/>
      <c r="G6" s="782"/>
    </row>
    <row r="7" spans="1:7" ht="5.25" customHeight="1" x14ac:dyDescent="0.4">
      <c r="B7" s="779"/>
    </row>
    <row r="8" spans="1:7" ht="5.25" customHeight="1" x14ac:dyDescent="0.25">
      <c r="B8" s="910"/>
      <c r="C8" s="1018"/>
    </row>
    <row r="9" spans="1:7" ht="50.25" customHeight="1" x14ac:dyDescent="0.25">
      <c r="B9" s="1552" t="s">
        <v>296</v>
      </c>
      <c r="C9" s="1552"/>
    </row>
    <row r="10" spans="1:7" ht="50.25" customHeight="1" x14ac:dyDescent="0.25">
      <c r="B10" s="1552" t="s">
        <v>297</v>
      </c>
      <c r="C10" s="1552"/>
    </row>
    <row r="11" spans="1:7" s="1022" customFormat="1" ht="36.75" customHeight="1" x14ac:dyDescent="0.25">
      <c r="B11" s="1550" t="str">
        <f>CIJFERS!C36</f>
        <v>icm.antwerpen@health.fgov.be</v>
      </c>
      <c r="C11" s="1551"/>
    </row>
    <row r="13" spans="1:7" ht="18" x14ac:dyDescent="0.25">
      <c r="B13" s="1021"/>
    </row>
    <row r="14" spans="1:7" hidden="1" x14ac:dyDescent="0.25"/>
    <row r="15" spans="1:7" hidden="1" x14ac:dyDescent="0.25">
      <c r="A15" s="984">
        <f>'LUIK Rampen'!B20</f>
        <v>0</v>
      </c>
      <c r="B15" s="708" t="s">
        <v>1054</v>
      </c>
    </row>
    <row r="16" spans="1:7" ht="25" hidden="1" x14ac:dyDescent="0.25">
      <c r="A16" s="985" t="str">
        <f>'LUIK Rampen'!B21</f>
        <v>?</v>
      </c>
      <c r="B16" s="708" t="s">
        <v>1053</v>
      </c>
    </row>
    <row r="17" spans="1:2" hidden="1" x14ac:dyDescent="0.25"/>
    <row r="18" spans="1:2" hidden="1" x14ac:dyDescent="0.25"/>
    <row r="19" spans="1:2" hidden="1" x14ac:dyDescent="0.25">
      <c r="A19" s="624">
        <f>'LUIK Rampen'!B24</f>
        <v>1</v>
      </c>
      <c r="B19" s="1009" t="s">
        <v>1492</v>
      </c>
    </row>
    <row r="20" spans="1:2" hidden="1" x14ac:dyDescent="0.25">
      <c r="A20" s="624">
        <f>'LUIK Rampen'!B25</f>
        <v>1</v>
      </c>
      <c r="B20" s="1009" t="s">
        <v>1493</v>
      </c>
    </row>
    <row r="21" spans="1:2" hidden="1" x14ac:dyDescent="0.25">
      <c r="A21" s="624">
        <f>'LUIK Rampen'!B26</f>
        <v>1</v>
      </c>
      <c r="B21" s="1009" t="s">
        <v>1757</v>
      </c>
    </row>
    <row r="22" spans="1:2" hidden="1" x14ac:dyDescent="0.25">
      <c r="A22" s="624">
        <f>'LUIK Rampen'!B27</f>
        <v>1</v>
      </c>
      <c r="B22" s="1010" t="s">
        <v>1759</v>
      </c>
    </row>
    <row r="23" spans="1:2" hidden="1" x14ac:dyDescent="0.25"/>
  </sheetData>
  <sheetProtection password="C534" sheet="1" objects="1" scenarios="1"/>
  <mergeCells count="7">
    <mergeCell ref="B2:C2"/>
    <mergeCell ref="B3:C3"/>
    <mergeCell ref="B11:C11"/>
    <mergeCell ref="B9:C9"/>
    <mergeCell ref="B10:C10"/>
    <mergeCell ref="A5:C5"/>
    <mergeCell ref="B4:C4"/>
  </mergeCells>
  <phoneticPr fontId="2" type="noConversion"/>
  <hyperlinks>
    <hyperlink ref="B11" r:id="rId1" display="icm.antwerpen@health.fgov.be" xr:uid="{00000000-0004-0000-0C00-000000000000}"/>
  </hyperlinks>
  <pageMargins left="0.75" right="0.75" top="1" bottom="1" header="0.5" footer="0.5"/>
  <pageSetup orientation="portrait" r:id="rId2"/>
  <headerFooter alignWithMargins="0"/>
  <drawing r:id="rId3"/>
  <legacyDrawing r:id="rId4"/>
  <controls>
    <mc:AlternateContent xmlns:mc="http://schemas.openxmlformats.org/markup-compatibility/2006">
      <mc:Choice Requires="x14">
        <control shapeId="27651" r:id="rId5" name="CommandButton2">
          <controlPr defaultSize="0" autoFill="0" autoLine="0" r:id="rId6">
            <anchor moveWithCells="1">
              <from>
                <xdr:col>2</xdr:col>
                <xdr:colOff>984250</xdr:colOff>
                <xdr:row>4</xdr:row>
                <xdr:rowOff>88900</xdr:rowOff>
              </from>
              <to>
                <xdr:col>2</xdr:col>
                <xdr:colOff>3168650</xdr:colOff>
                <xdr:row>4</xdr:row>
                <xdr:rowOff>749300</xdr:rowOff>
              </to>
            </anchor>
          </controlPr>
        </control>
      </mc:Choice>
      <mc:Fallback>
        <control shapeId="27651" r:id="rId5" name="CommandButton2"/>
      </mc:Fallback>
    </mc:AlternateContent>
    <mc:AlternateContent xmlns:mc="http://schemas.openxmlformats.org/markup-compatibility/2006">
      <mc:Choice Requires="x14">
        <control shapeId="27650" r:id="rId7" name="CommandButton1">
          <controlPr defaultSize="0" autoFill="0" autoLine="0" r:id="rId8">
            <anchor moveWithCells="1">
              <from>
                <xdr:col>1</xdr:col>
                <xdr:colOff>1123950</xdr:colOff>
                <xdr:row>4</xdr:row>
                <xdr:rowOff>95250</xdr:rowOff>
              </from>
              <to>
                <xdr:col>1</xdr:col>
                <xdr:colOff>3308350</xdr:colOff>
                <xdr:row>4</xdr:row>
                <xdr:rowOff>755650</xdr:rowOff>
              </to>
            </anchor>
          </controlPr>
        </control>
      </mc:Choice>
      <mc:Fallback>
        <control shapeId="27650" r:id="rId7" name="CommandButton1"/>
      </mc:Fallback>
    </mc:AlternateContent>
  </control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20">
    <tabColor indexed="8"/>
  </sheetPr>
  <dimension ref="A1:G23"/>
  <sheetViews>
    <sheetView workbookViewId="0">
      <selection activeCell="B2" sqref="B2:C2"/>
    </sheetView>
  </sheetViews>
  <sheetFormatPr defaultColWidth="9.1796875" defaultRowHeight="12.5" x14ac:dyDescent="0.25"/>
  <cols>
    <col min="1" max="1" width="5" style="178" customWidth="1"/>
    <col min="2" max="2" width="64.453125" style="178" customWidth="1"/>
    <col min="3" max="3" width="68.7265625" style="178" customWidth="1"/>
    <col min="4" max="16384" width="9.1796875" style="178"/>
  </cols>
  <sheetData>
    <row r="1" spans="1:7" ht="6" customHeight="1" thickBot="1" x14ac:dyDescent="0.3"/>
    <row r="2" spans="1:7" ht="28.5" thickBot="1" x14ac:dyDescent="0.65">
      <c r="B2" s="1557" t="s">
        <v>1846</v>
      </c>
      <c r="C2" s="1558"/>
    </row>
    <row r="3" spans="1:7" ht="20.25" customHeight="1" x14ac:dyDescent="0.35">
      <c r="B3" s="1549" t="s">
        <v>1847</v>
      </c>
      <c r="C3" s="1549"/>
    </row>
    <row r="4" spans="1:7" ht="22.5" customHeight="1" thickBot="1" x14ac:dyDescent="0.45">
      <c r="B4" s="1556" t="s">
        <v>943</v>
      </c>
      <c r="C4" s="1556"/>
    </row>
    <row r="5" spans="1:7" ht="63.75" customHeight="1" thickBot="1" x14ac:dyDescent="0.3">
      <c r="A5" s="1559"/>
      <c r="B5" s="1560"/>
      <c r="C5" s="1561"/>
    </row>
    <row r="6" spans="1:7" s="780" customFormat="1" ht="63.75" customHeight="1" x14ac:dyDescent="0.25">
      <c r="B6" s="781" t="s">
        <v>944</v>
      </c>
      <c r="C6" s="1019" t="s">
        <v>1162</v>
      </c>
      <c r="D6" s="782"/>
      <c r="E6" s="782"/>
      <c r="F6" s="782"/>
      <c r="G6" s="782"/>
    </row>
    <row r="7" spans="1:7" ht="7.5" customHeight="1" x14ac:dyDescent="0.25">
      <c r="B7" s="908"/>
      <c r="C7" s="1020"/>
    </row>
    <row r="8" spans="1:7" ht="51.75" customHeight="1" x14ac:dyDescent="0.25">
      <c r="B8" s="1552" t="s">
        <v>296</v>
      </c>
      <c r="C8" s="1552"/>
    </row>
    <row r="9" spans="1:7" ht="53.25" customHeight="1" x14ac:dyDescent="0.25">
      <c r="B9" s="1552" t="s">
        <v>298</v>
      </c>
      <c r="C9" s="1552"/>
    </row>
    <row r="10" spans="1:7" ht="20" x14ac:dyDescent="0.25">
      <c r="B10" s="1550" t="str">
        <f>CIJFERS!C36</f>
        <v>icm.antwerpen@health.fgov.be</v>
      </c>
      <c r="C10" s="1551"/>
    </row>
    <row r="11" spans="1:7" x14ac:dyDescent="0.25">
      <c r="B11" s="503"/>
    </row>
    <row r="14" spans="1:7" x14ac:dyDescent="0.25">
      <c r="B14" s="706"/>
    </row>
    <row r="15" spans="1:7" hidden="1" x14ac:dyDescent="0.25">
      <c r="B15" s="707"/>
    </row>
    <row r="16" spans="1:7" hidden="1" x14ac:dyDescent="0.25">
      <c r="A16" s="1011">
        <f>LUIK6!A15</f>
        <v>0</v>
      </c>
      <c r="B16" s="707" t="str">
        <f>LUIK6!B15</f>
        <v>Er is geen Medische inzet vereist</v>
      </c>
    </row>
    <row r="17" spans="1:2" hidden="1" x14ac:dyDescent="0.25">
      <c r="A17" s="1011" t="str">
        <f>LUIK6!A16</f>
        <v>?</v>
      </c>
      <c r="B17" s="707" t="str">
        <f>LUIK6!B16</f>
        <v>Er is een beperkte hulppost vereist. De aanwezigheid van vepleegkundige, ziekenwagen of MUG is hier niet nodig</v>
      </c>
    </row>
    <row r="18" spans="1:2" hidden="1" x14ac:dyDescent="0.25"/>
    <row r="19" spans="1:2" hidden="1" x14ac:dyDescent="0.25"/>
    <row r="20" spans="1:2" hidden="1" x14ac:dyDescent="0.25">
      <c r="A20" s="1011">
        <f>LUIK6!A19</f>
        <v>1</v>
      </c>
      <c r="B20" s="178" t="str">
        <f>LUIK6!B19</f>
        <v>controle invullen luik 1</v>
      </c>
    </row>
    <row r="21" spans="1:2" hidden="1" x14ac:dyDescent="0.25">
      <c r="A21" s="1011">
        <f>LUIK6!A20</f>
        <v>1</v>
      </c>
      <c r="B21" s="178" t="str">
        <f>LUIK6!B20</f>
        <v>controle invullen luik 2</v>
      </c>
    </row>
    <row r="22" spans="1:2" hidden="1" x14ac:dyDescent="0.25">
      <c r="A22" s="1011">
        <f>LUIK6!A21</f>
        <v>1</v>
      </c>
      <c r="B22" s="178" t="str">
        <f>LUIK6!B21</f>
        <v>contorle invullen luik4</v>
      </c>
    </row>
    <row r="23" spans="1:2" hidden="1" x14ac:dyDescent="0.25">
      <c r="A23" s="1011">
        <f>LUIK6!A22</f>
        <v>1</v>
      </c>
      <c r="B23" s="178" t="str">
        <f>LUIK6!B22</f>
        <v>controle invullen luik 3</v>
      </c>
    </row>
  </sheetData>
  <sheetProtection password="C534" sheet="1" objects="1" scenarios="1"/>
  <mergeCells count="7">
    <mergeCell ref="B2:C2"/>
    <mergeCell ref="B4:C4"/>
    <mergeCell ref="B10:C10"/>
    <mergeCell ref="B8:C8"/>
    <mergeCell ref="B3:C3"/>
    <mergeCell ref="A5:C5"/>
    <mergeCell ref="B9:C9"/>
  </mergeCells>
  <phoneticPr fontId="2" type="noConversion"/>
  <hyperlinks>
    <hyperlink ref="B10" r:id="rId1" display="icm.antwerpen@health.fgov.be" xr:uid="{00000000-0004-0000-0D00-000000000000}"/>
  </hyperlinks>
  <pageMargins left="0.75" right="0.75" top="1" bottom="1" header="0.5" footer="0.5"/>
  <pageSetup paperSize="9" orientation="portrait" r:id="rId2"/>
  <headerFooter alignWithMargins="0"/>
  <drawing r:id="rId3"/>
  <legacyDrawing r:id="rId4"/>
  <controls>
    <mc:AlternateContent xmlns:mc="http://schemas.openxmlformats.org/markup-compatibility/2006">
      <mc:Choice Requires="x14">
        <control shapeId="28674" r:id="rId5" name="CommandButton2">
          <controlPr defaultSize="0" autoFill="0" autoLine="0" r:id="rId6">
            <anchor moveWithCells="1">
              <from>
                <xdr:col>2</xdr:col>
                <xdr:colOff>965200</xdr:colOff>
                <xdr:row>4</xdr:row>
                <xdr:rowOff>76200</xdr:rowOff>
              </from>
              <to>
                <xdr:col>2</xdr:col>
                <xdr:colOff>3149600</xdr:colOff>
                <xdr:row>4</xdr:row>
                <xdr:rowOff>736600</xdr:rowOff>
              </to>
            </anchor>
          </controlPr>
        </control>
      </mc:Choice>
      <mc:Fallback>
        <control shapeId="28674" r:id="rId5" name="CommandButton2"/>
      </mc:Fallback>
    </mc:AlternateContent>
    <mc:AlternateContent xmlns:mc="http://schemas.openxmlformats.org/markup-compatibility/2006">
      <mc:Choice Requires="x14">
        <control shapeId="28673" r:id="rId7" name="CommandButton1">
          <controlPr defaultSize="0" autoFill="0" autoLine="0" r:id="rId8">
            <anchor moveWithCells="1">
              <from>
                <xdr:col>1</xdr:col>
                <xdr:colOff>812800</xdr:colOff>
                <xdr:row>4</xdr:row>
                <xdr:rowOff>57150</xdr:rowOff>
              </from>
              <to>
                <xdr:col>1</xdr:col>
                <xdr:colOff>2997200</xdr:colOff>
                <xdr:row>4</xdr:row>
                <xdr:rowOff>717550</xdr:rowOff>
              </to>
            </anchor>
          </controlPr>
        </control>
      </mc:Choice>
      <mc:Fallback>
        <control shapeId="28673" r:id="rId7" name="CommandButton1"/>
      </mc:Fallback>
    </mc:AlternateContent>
  </control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21">
    <tabColor indexed="8"/>
  </sheetPr>
  <dimension ref="B2:B17"/>
  <sheetViews>
    <sheetView workbookViewId="0">
      <selection activeCell="B3" sqref="B3"/>
    </sheetView>
  </sheetViews>
  <sheetFormatPr defaultColWidth="9.1796875" defaultRowHeight="12.5" x14ac:dyDescent="0.25"/>
  <cols>
    <col min="1" max="1" width="9.1796875" style="178"/>
    <col min="2" max="2" width="119.81640625" style="178" customWidth="1"/>
    <col min="3" max="16384" width="9.1796875" style="178"/>
  </cols>
  <sheetData>
    <row r="2" spans="2:2" ht="13" thickBot="1" x14ac:dyDescent="0.3"/>
    <row r="3" spans="2:2" ht="28.5" thickBot="1" x14ac:dyDescent="0.65">
      <c r="B3" s="709" t="s">
        <v>1846</v>
      </c>
    </row>
    <row r="5" spans="2:2" s="708" customFormat="1" ht="18" thickBot="1" x14ac:dyDescent="0.4">
      <c r="B5" s="705" t="s">
        <v>1761</v>
      </c>
    </row>
    <row r="6" spans="2:2" s="708" customFormat="1" ht="25" x14ac:dyDescent="0.5">
      <c r="B6" s="1024" t="str">
        <f>CIJFERS!C36</f>
        <v>icm.antwerpen@health.fgov.be</v>
      </c>
    </row>
    <row r="7" spans="2:2" ht="25.5" thickBot="1" x14ac:dyDescent="0.55000000000000004">
      <c r="B7" s="1025" t="s">
        <v>1931</v>
      </c>
    </row>
    <row r="8" spans="2:2" s="708" customFormat="1" ht="18" thickBot="1" x14ac:dyDescent="0.4">
      <c r="B8" s="705"/>
    </row>
    <row r="9" spans="2:2" s="708" customFormat="1" ht="97.5" customHeight="1" thickBot="1" x14ac:dyDescent="0.3">
      <c r="B9" s="1023" t="s">
        <v>1932</v>
      </c>
    </row>
    <row r="10" spans="2:2" s="708" customFormat="1" ht="17.5" x14ac:dyDescent="0.35">
      <c r="B10" s="705"/>
    </row>
    <row r="11" spans="2:2" x14ac:dyDescent="0.25">
      <c r="B11" s="503"/>
    </row>
    <row r="14" spans="2:2" x14ac:dyDescent="0.25">
      <c r="B14" s="706"/>
    </row>
    <row r="15" spans="2:2" x14ac:dyDescent="0.25">
      <c r="B15" s="707"/>
    </row>
    <row r="16" spans="2:2" x14ac:dyDescent="0.25">
      <c r="B16" s="707"/>
    </row>
    <row r="17" spans="2:2" x14ac:dyDescent="0.25">
      <c r="B17" s="707"/>
    </row>
  </sheetData>
  <sheetProtection password="C534" sheet="1" objects="1" scenarios="1"/>
  <phoneticPr fontId="2"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7">
    <tabColor indexed="22"/>
  </sheetPr>
  <dimension ref="A1:I108"/>
  <sheetViews>
    <sheetView zoomScale="85" zoomScaleNormal="85" workbookViewId="0">
      <selection activeCell="E8" sqref="E8"/>
    </sheetView>
  </sheetViews>
  <sheetFormatPr defaultColWidth="9.1796875" defaultRowHeight="12.5" x14ac:dyDescent="0.25"/>
  <cols>
    <col min="1" max="1" width="2.1796875" style="476" customWidth="1"/>
    <col min="2" max="2" width="5.54296875" style="476" customWidth="1"/>
    <col min="3" max="3" width="21.453125" style="476" customWidth="1"/>
    <col min="4" max="4" width="50.1796875" style="476" customWidth="1"/>
    <col min="5" max="5" width="11" style="476" bestFit="1" customWidth="1"/>
    <col min="6" max="6" width="52.7265625" style="476" customWidth="1"/>
    <col min="7" max="7" width="8.81640625" style="476" customWidth="1"/>
    <col min="8" max="8" width="25" style="476" customWidth="1"/>
    <col min="9" max="9" width="93.54296875" style="476" bestFit="1" customWidth="1"/>
    <col min="10" max="16384" width="9.1796875" style="476"/>
  </cols>
  <sheetData>
    <row r="1" spans="1:9" ht="16" thickBot="1" x14ac:dyDescent="0.4">
      <c r="A1" s="1587" t="s">
        <v>857</v>
      </c>
      <c r="B1" s="1587"/>
      <c r="C1" s="1587"/>
      <c r="D1" s="1587"/>
      <c r="E1" s="1587"/>
      <c r="F1" s="1587"/>
    </row>
    <row r="2" spans="1:9" ht="13" thickBot="1" x14ac:dyDescent="0.3">
      <c r="F2" s="1199"/>
      <c r="G2" s="1579" t="s">
        <v>1372</v>
      </c>
      <c r="H2" s="1579"/>
      <c r="I2" s="1580"/>
    </row>
    <row r="3" spans="1:9" ht="13" x14ac:dyDescent="0.3">
      <c r="A3" s="475"/>
      <c r="B3" s="1590" t="s">
        <v>1618</v>
      </c>
      <c r="C3" s="1590"/>
      <c r="D3" s="1590"/>
      <c r="E3" s="1590" t="s">
        <v>1617</v>
      </c>
      <c r="F3" s="1591"/>
      <c r="G3" s="1198" t="s">
        <v>1494</v>
      </c>
      <c r="H3" s="1198" t="s">
        <v>1495</v>
      </c>
      <c r="I3" s="1198" t="s">
        <v>2133</v>
      </c>
    </row>
    <row r="4" spans="1:9" s="776" customFormat="1" ht="78" customHeight="1" x14ac:dyDescent="0.4">
      <c r="A4" s="773"/>
      <c r="B4" s="773">
        <v>1</v>
      </c>
      <c r="C4" s="1592" t="s">
        <v>2134</v>
      </c>
      <c r="D4" s="1593"/>
      <c r="E4" s="774" t="str">
        <f>IF(F4=0,"ok","FOUT")</f>
        <v>FOUT</v>
      </c>
      <c r="F4" s="774">
        <f>'LUIK 1 - AANVRAAG'!I69</f>
        <v>1</v>
      </c>
      <c r="G4" s="774">
        <v>1</v>
      </c>
      <c r="H4" s="774" t="s">
        <v>1501</v>
      </c>
      <c r="I4" s="775" t="s">
        <v>145</v>
      </c>
    </row>
    <row r="5" spans="1:9" ht="41.25" customHeight="1" x14ac:dyDescent="0.4">
      <c r="A5" s="477"/>
      <c r="B5" s="495">
        <v>2</v>
      </c>
      <c r="C5" s="1596" t="s">
        <v>1616</v>
      </c>
      <c r="D5" s="1596"/>
      <c r="E5" s="479" t="str">
        <f>'LUIK 2 - RISICOVRAAG'!E10</f>
        <v>NEEN</v>
      </c>
      <c r="F5" s="479">
        <f>IF(E5="NEEN",0,1)</f>
        <v>0</v>
      </c>
      <c r="G5" s="478">
        <v>2</v>
      </c>
      <c r="H5" s="478" t="s">
        <v>1301</v>
      </c>
      <c r="I5" s="724" t="s">
        <v>146</v>
      </c>
    </row>
    <row r="6" spans="1:9" ht="14" x14ac:dyDescent="0.3">
      <c r="B6" s="495">
        <v>3</v>
      </c>
      <c r="C6" s="1596" t="s">
        <v>1619</v>
      </c>
      <c r="D6" s="1596"/>
      <c r="E6" s="479" t="str">
        <f>IF(F6=0,"ok","FOUT")</f>
        <v>FOUT</v>
      </c>
      <c r="F6" s="1197">
        <f>'LUIK 2 - RISICOVRAAG'!$C$32</f>
        <v>1</v>
      </c>
      <c r="G6" s="478">
        <v>2</v>
      </c>
      <c r="H6" s="478" t="s">
        <v>1496</v>
      </c>
      <c r="I6" s="725"/>
    </row>
    <row r="7" spans="1:9" ht="38" x14ac:dyDescent="0.3">
      <c r="B7" s="495">
        <v>4</v>
      </c>
      <c r="C7" s="1597" t="s">
        <v>177</v>
      </c>
      <c r="D7" s="1573"/>
      <c r="E7" s="478" t="str">
        <f>IF(F7=0,"ok","FOUT")</f>
        <v>FOUT</v>
      </c>
      <c r="F7" s="1197">
        <f>'LUIK3 + SCORE'!F124</f>
        <v>1</v>
      </c>
      <c r="G7" s="478">
        <v>3</v>
      </c>
      <c r="H7" s="478" t="s">
        <v>1174</v>
      </c>
      <c r="I7" s="724" t="s">
        <v>147</v>
      </c>
    </row>
    <row r="8" spans="1:9" ht="81" customHeight="1" x14ac:dyDescent="0.3">
      <c r="B8" s="495">
        <v>5</v>
      </c>
      <c r="C8" s="1573" t="s">
        <v>1620</v>
      </c>
      <c r="D8" s="1573"/>
      <c r="E8" s="478" t="str">
        <f>IF(F8=0,"ok","FOUT")</f>
        <v>FOUT</v>
      </c>
      <c r="F8" s="1197">
        <f>'LUIK 4 - RISICO''S VGZ'!D50</f>
        <v>1</v>
      </c>
      <c r="G8" s="478">
        <v>4</v>
      </c>
      <c r="H8" s="478" t="s">
        <v>1175</v>
      </c>
      <c r="I8" s="820" t="s">
        <v>148</v>
      </c>
    </row>
    <row r="9" spans="1:9" ht="15.5" x14ac:dyDescent="0.35">
      <c r="B9" s="495"/>
      <c r="C9" s="1588" t="s">
        <v>777</v>
      </c>
      <c r="D9" s="1588"/>
      <c r="E9" s="1588"/>
      <c r="F9" s="1588"/>
      <c r="G9" s="1581" t="s">
        <v>1905</v>
      </c>
      <c r="H9" s="1582"/>
      <c r="I9" s="725"/>
    </row>
    <row r="10" spans="1:9" ht="34.5" customHeight="1" x14ac:dyDescent="0.3">
      <c r="B10" s="495"/>
      <c r="C10" s="1589" t="str">
        <f>WERKDOC!A43</f>
        <v>Minimum aantal verpleegkundigen (andere dan de MUG-equipe(s))</v>
      </c>
      <c r="D10" s="1589"/>
      <c r="E10" s="1131"/>
      <c r="F10" s="472">
        <f>WERKDOC!B43</f>
        <v>0</v>
      </c>
      <c r="G10" s="1583"/>
      <c r="H10" s="1584"/>
      <c r="I10" s="725"/>
    </row>
    <row r="11" spans="1:9" ht="34.5" customHeight="1" x14ac:dyDescent="0.3">
      <c r="B11" s="495"/>
      <c r="C11" s="1589" t="str">
        <f>WERKDOC!A44</f>
        <v>Minimum aantal artsen (andere dan de MUG-equipe(s))</v>
      </c>
      <c r="D11" s="1589"/>
      <c r="E11" s="1131"/>
      <c r="F11" s="472">
        <f>WERKDOC!B44</f>
        <v>0</v>
      </c>
      <c r="G11" s="1583"/>
      <c r="H11" s="1584"/>
      <c r="I11" s="725"/>
    </row>
    <row r="12" spans="1:9" ht="34.5" customHeight="1" x14ac:dyDescent="0.3">
      <c r="B12" s="495"/>
      <c r="C12" s="1599" t="str">
        <f>WERKDOC!A28</f>
        <v>Minimaal aantal ambulances</v>
      </c>
      <c r="D12" s="1599"/>
      <c r="E12" s="1131"/>
      <c r="F12" s="473">
        <f>WERKDOC!B28</f>
        <v>0</v>
      </c>
      <c r="G12" s="1585"/>
      <c r="H12" s="1586"/>
      <c r="I12" s="725"/>
    </row>
    <row r="13" spans="1:9" ht="17.5" x14ac:dyDescent="0.35">
      <c r="B13" s="495">
        <v>6</v>
      </c>
      <c r="C13" s="1562"/>
      <c r="D13" s="1598"/>
      <c r="E13" s="1143" t="str">
        <f>IF(F13=0,"ok","FOUT")</f>
        <v>FOUT</v>
      </c>
      <c r="F13" s="1144" t="str">
        <f>IF('LUIK 1 - AANVRAAG'!K8=0,"?",IF(waardeluik3.3,"?",SUM(F10:F12)))</f>
        <v>?</v>
      </c>
      <c r="G13" s="501">
        <v>5</v>
      </c>
      <c r="H13" s="478" t="s">
        <v>1176</v>
      </c>
      <c r="I13" s="725"/>
    </row>
    <row r="14" spans="1:9" ht="17.5" x14ac:dyDescent="0.35">
      <c r="B14" s="495"/>
      <c r="C14" s="1601" t="s">
        <v>1369</v>
      </c>
      <c r="D14" s="1149" t="s">
        <v>1123</v>
      </c>
      <c r="E14" s="1143"/>
      <c r="F14" s="1150">
        <f>WERKDOC!B30</f>
        <v>0</v>
      </c>
      <c r="G14" s="1141"/>
      <c r="H14" s="979"/>
      <c r="I14" s="1142"/>
    </row>
    <row r="15" spans="1:9" ht="17.5" x14ac:dyDescent="0.35">
      <c r="B15" s="495"/>
      <c r="C15" s="1601"/>
      <c r="D15" s="1149" t="s">
        <v>1370</v>
      </c>
      <c r="E15" s="1143"/>
      <c r="F15" s="1150">
        <f>WERKDOC!B31</f>
        <v>0</v>
      </c>
      <c r="G15" s="1141"/>
      <c r="H15" s="979"/>
      <c r="I15" s="1142"/>
    </row>
    <row r="16" spans="1:9" ht="17.5" x14ac:dyDescent="0.35">
      <c r="B16" s="495">
        <v>7</v>
      </c>
      <c r="C16" s="1601"/>
      <c r="D16" s="1149" t="s">
        <v>142</v>
      </c>
      <c r="E16" s="1143" t="str">
        <f>IF(F16&lt;0.5,"NEEN","JA")</f>
        <v>NEEN</v>
      </c>
      <c r="F16" s="1150">
        <f>SUM(F14:F15)</f>
        <v>0</v>
      </c>
      <c r="G16" s="1141"/>
      <c r="H16" s="979"/>
      <c r="I16" s="1142"/>
    </row>
    <row r="17" spans="2:9" ht="17.5" x14ac:dyDescent="0.35">
      <c r="B17" s="495"/>
      <c r="C17" s="504"/>
      <c r="D17" s="1140"/>
      <c r="E17" s="1145"/>
      <c r="F17" s="1146"/>
      <c r="G17" s="1141"/>
      <c r="H17" s="979"/>
      <c r="I17" s="1142"/>
    </row>
    <row r="19" spans="2:9" ht="15.5" x14ac:dyDescent="0.35">
      <c r="C19" s="1600" t="s">
        <v>858</v>
      </c>
      <c r="D19" s="1600"/>
      <c r="E19" s="1600"/>
      <c r="F19" s="1600"/>
    </row>
    <row r="20" spans="2:9" x14ac:dyDescent="0.25">
      <c r="C20" s="496" t="s">
        <v>1830</v>
      </c>
      <c r="D20" s="496" t="s">
        <v>1834</v>
      </c>
      <c r="E20" s="496" t="s">
        <v>1831</v>
      </c>
      <c r="F20" s="496" t="s">
        <v>1500</v>
      </c>
    </row>
    <row r="21" spans="2:9" x14ac:dyDescent="0.25">
      <c r="C21" s="496" t="s">
        <v>1829</v>
      </c>
      <c r="D21" s="496" t="s">
        <v>1762</v>
      </c>
      <c r="E21" s="496" t="s">
        <v>178</v>
      </c>
      <c r="F21" s="496" t="s">
        <v>860</v>
      </c>
    </row>
    <row r="22" spans="2:9" ht="25" x14ac:dyDescent="0.25">
      <c r="C22" s="496" t="s">
        <v>1832</v>
      </c>
      <c r="D22" s="497" t="s">
        <v>1487</v>
      </c>
      <c r="E22" s="498" t="s">
        <v>1497</v>
      </c>
      <c r="F22" s="498" t="s">
        <v>861</v>
      </c>
    </row>
    <row r="23" spans="2:9" ht="75" x14ac:dyDescent="0.25">
      <c r="C23" s="496" t="s">
        <v>1833</v>
      </c>
      <c r="D23" s="497" t="s">
        <v>1490</v>
      </c>
      <c r="E23" s="498" t="s">
        <v>1498</v>
      </c>
      <c r="F23" s="498" t="s">
        <v>1756</v>
      </c>
    </row>
    <row r="24" spans="2:9" ht="97.5" customHeight="1" x14ac:dyDescent="0.25">
      <c r="C24" s="496" t="s">
        <v>1688</v>
      </c>
      <c r="D24" s="497" t="s">
        <v>1491</v>
      </c>
      <c r="E24" s="498" t="s">
        <v>1499</v>
      </c>
      <c r="F24" s="502" t="s">
        <v>1242</v>
      </c>
    </row>
    <row r="25" spans="2:9" ht="75" x14ac:dyDescent="0.25">
      <c r="C25" s="496" t="s">
        <v>35</v>
      </c>
      <c r="D25" s="497" t="s">
        <v>33</v>
      </c>
      <c r="E25" s="498" t="s">
        <v>34</v>
      </c>
      <c r="F25" s="502" t="s">
        <v>307</v>
      </c>
    </row>
    <row r="26" spans="2:9" x14ac:dyDescent="0.25">
      <c r="C26" s="1012"/>
      <c r="D26" s="1013"/>
      <c r="E26" s="550"/>
      <c r="F26" s="1014"/>
    </row>
    <row r="27" spans="2:9" x14ac:dyDescent="0.25">
      <c r="C27" s="1012"/>
      <c r="D27" s="1013"/>
      <c r="E27" s="550"/>
      <c r="F27" s="1014"/>
    </row>
    <row r="28" spans="2:9" x14ac:dyDescent="0.25">
      <c r="C28" s="1012"/>
      <c r="D28" s="1013"/>
      <c r="E28" s="550"/>
      <c r="F28" s="1014"/>
    </row>
    <row r="29" spans="2:9" x14ac:dyDescent="0.25">
      <c r="C29" s="1012"/>
      <c r="D29" s="1013"/>
      <c r="E29" s="550"/>
      <c r="F29" s="1014"/>
    </row>
    <row r="30" spans="2:9" x14ac:dyDescent="0.25">
      <c r="C30" s="1012"/>
      <c r="D30" s="1013"/>
      <c r="E30" s="550"/>
      <c r="F30" s="1014"/>
    </row>
    <row r="32" spans="2:9" ht="15.5" x14ac:dyDescent="0.35">
      <c r="C32" s="1600" t="s">
        <v>859</v>
      </c>
      <c r="D32" s="1600"/>
      <c r="E32" s="1600"/>
      <c r="F32" s="1600"/>
    </row>
    <row r="35" spans="2:8" ht="15.5" x14ac:dyDescent="0.35">
      <c r="C35" s="1600" t="s">
        <v>275</v>
      </c>
      <c r="D35" s="1600"/>
      <c r="E35" s="1600"/>
      <c r="F35" s="1600"/>
    </row>
    <row r="37" spans="2:8" x14ac:dyDescent="0.25">
      <c r="B37" s="1225" t="s">
        <v>182</v>
      </c>
      <c r="C37" s="1594"/>
      <c r="D37" s="1595"/>
      <c r="E37" s="997"/>
      <c r="F37" s="997"/>
      <c r="G37" s="997"/>
      <c r="H37" s="997"/>
    </row>
    <row r="38" spans="2:8" x14ac:dyDescent="0.25">
      <c r="B38" s="1575" t="s">
        <v>183</v>
      </c>
      <c r="C38" s="1577" t="s">
        <v>187</v>
      </c>
      <c r="D38" s="998" t="s">
        <v>877</v>
      </c>
      <c r="E38" s="1564" t="s">
        <v>1702</v>
      </c>
      <c r="F38" s="1564"/>
      <c r="G38" s="1564"/>
      <c r="H38" s="1564"/>
    </row>
    <row r="39" spans="2:8" x14ac:dyDescent="0.25">
      <c r="B39" s="1576"/>
      <c r="C39" s="1578"/>
      <c r="D39" s="998" t="s">
        <v>1907</v>
      </c>
      <c r="E39" s="988"/>
      <c r="F39" s="988"/>
      <c r="G39" s="988"/>
      <c r="H39" s="988"/>
    </row>
    <row r="40" spans="2:8" x14ac:dyDescent="0.25">
      <c r="B40" s="994" t="s">
        <v>1503</v>
      </c>
      <c r="C40" s="496" t="s">
        <v>188</v>
      </c>
      <c r="D40" s="998" t="s">
        <v>1906</v>
      </c>
      <c r="E40" s="999"/>
      <c r="F40" s="999"/>
      <c r="G40" s="999"/>
      <c r="H40" s="999"/>
    </row>
    <row r="41" spans="2:8" x14ac:dyDescent="0.25">
      <c r="B41" s="1575" t="s">
        <v>1504</v>
      </c>
      <c r="C41" s="1577" t="s">
        <v>184</v>
      </c>
      <c r="D41" s="998" t="s">
        <v>185</v>
      </c>
      <c r="E41" s="1564" t="s">
        <v>1701</v>
      </c>
      <c r="F41" s="1564"/>
      <c r="G41" s="1564"/>
      <c r="H41" s="1564"/>
    </row>
    <row r="42" spans="2:8" x14ac:dyDescent="0.25">
      <c r="B42" s="1576"/>
      <c r="C42" s="1578"/>
      <c r="D42" s="998" t="s">
        <v>189</v>
      </c>
      <c r="E42" s="999"/>
      <c r="F42" s="999"/>
      <c r="G42" s="999"/>
      <c r="H42" s="999"/>
    </row>
    <row r="43" spans="2:8" x14ac:dyDescent="0.25">
      <c r="B43" s="1575" t="s">
        <v>1506</v>
      </c>
      <c r="C43" s="1577" t="s">
        <v>186</v>
      </c>
      <c r="D43" s="998" t="s">
        <v>295</v>
      </c>
      <c r="E43" s="999"/>
      <c r="F43" s="999"/>
      <c r="G43" s="999"/>
      <c r="H43" s="999"/>
    </row>
    <row r="44" spans="2:8" x14ac:dyDescent="0.25">
      <c r="B44" s="1576"/>
      <c r="C44" s="1578"/>
      <c r="D44" s="998" t="s">
        <v>878</v>
      </c>
      <c r="E44" s="999"/>
      <c r="F44" s="999"/>
      <c r="G44" s="999"/>
      <c r="H44" s="999"/>
    </row>
    <row r="45" spans="2:8" x14ac:dyDescent="0.25">
      <c r="B45" s="905" t="s">
        <v>1508</v>
      </c>
      <c r="C45" s="906" t="s">
        <v>890</v>
      </c>
      <c r="D45" s="998" t="s">
        <v>891</v>
      </c>
      <c r="E45" s="999"/>
      <c r="F45" s="999"/>
      <c r="G45" s="999"/>
      <c r="H45" s="999"/>
    </row>
    <row r="46" spans="2:8" x14ac:dyDescent="0.25">
      <c r="B46" s="1575" t="s">
        <v>1696</v>
      </c>
      <c r="C46" s="1577" t="s">
        <v>190</v>
      </c>
      <c r="D46" s="496" t="s">
        <v>192</v>
      </c>
      <c r="E46" s="999"/>
      <c r="F46" s="999"/>
      <c r="G46" s="999"/>
      <c r="H46" s="999"/>
    </row>
    <row r="47" spans="2:8" x14ac:dyDescent="0.25">
      <c r="B47" s="1576"/>
      <c r="C47" s="1578"/>
      <c r="D47" s="496" t="s">
        <v>191</v>
      </c>
      <c r="E47" s="999"/>
      <c r="F47" s="999"/>
      <c r="G47" s="999"/>
      <c r="H47" s="999"/>
    </row>
    <row r="48" spans="2:8" x14ac:dyDescent="0.25">
      <c r="B48" s="1575" t="s">
        <v>1697</v>
      </c>
      <c r="C48" s="1577" t="s">
        <v>190</v>
      </c>
      <c r="D48" s="496" t="s">
        <v>192</v>
      </c>
      <c r="E48" s="999"/>
      <c r="F48" s="999"/>
      <c r="G48" s="999"/>
      <c r="H48" s="999"/>
    </row>
    <row r="49" spans="2:9" x14ac:dyDescent="0.25">
      <c r="B49" s="1576"/>
      <c r="C49" s="1578"/>
      <c r="D49" s="496" t="s">
        <v>191</v>
      </c>
      <c r="E49" s="999"/>
      <c r="F49" s="999"/>
      <c r="G49" s="999"/>
      <c r="H49" s="999"/>
    </row>
    <row r="50" spans="2:9" x14ac:dyDescent="0.25">
      <c r="B50" s="1008" t="s">
        <v>1698</v>
      </c>
      <c r="C50" s="1015" t="s">
        <v>879</v>
      </c>
      <c r="D50" s="1016" t="s">
        <v>880</v>
      </c>
      <c r="E50" s="999"/>
      <c r="F50" s="999"/>
      <c r="G50" s="999"/>
      <c r="H50" s="999"/>
    </row>
    <row r="51" spans="2:9" x14ac:dyDescent="0.25">
      <c r="B51" s="1008" t="s">
        <v>272</v>
      </c>
      <c r="C51" s="1015" t="s">
        <v>271</v>
      </c>
      <c r="D51" s="1016" t="s">
        <v>881</v>
      </c>
      <c r="E51" s="999"/>
      <c r="F51" s="999"/>
      <c r="G51" s="999"/>
      <c r="H51" s="999"/>
    </row>
    <row r="52" spans="2:9" ht="33.75" customHeight="1" x14ac:dyDescent="0.25">
      <c r="B52" s="994" t="s">
        <v>942</v>
      </c>
      <c r="C52" s="1248" t="s">
        <v>274</v>
      </c>
      <c r="D52" s="1572"/>
      <c r="E52" s="1564" t="s">
        <v>1700</v>
      </c>
      <c r="F52" s="1564"/>
      <c r="G52" s="1564"/>
      <c r="H52" s="1564"/>
    </row>
    <row r="53" spans="2:9" s="777" customFormat="1" ht="30" customHeight="1" x14ac:dyDescent="0.25">
      <c r="B53" s="994" t="s">
        <v>892</v>
      </c>
      <c r="C53" s="1602" t="s">
        <v>882</v>
      </c>
      <c r="D53" s="1603"/>
      <c r="E53" s="1000"/>
      <c r="F53" s="1000"/>
      <c r="G53" s="1000"/>
      <c r="H53" s="1000"/>
    </row>
    <row r="54" spans="2:9" ht="45.75" customHeight="1" x14ac:dyDescent="0.25">
      <c r="B54" s="994" t="s">
        <v>1976</v>
      </c>
      <c r="C54" s="1248" t="s">
        <v>467</v>
      </c>
      <c r="D54" s="1572"/>
      <c r="E54" s="1564" t="s">
        <v>1703</v>
      </c>
      <c r="F54" s="1564"/>
      <c r="G54" s="1564"/>
      <c r="H54" s="1564"/>
    </row>
    <row r="55" spans="2:9" x14ac:dyDescent="0.25">
      <c r="B55" s="994" t="s">
        <v>273</v>
      </c>
      <c r="C55" s="1564" t="s">
        <v>259</v>
      </c>
      <c r="D55" s="1564"/>
      <c r="E55" s="1564" t="s">
        <v>1699</v>
      </c>
      <c r="F55" s="1564"/>
      <c r="G55" s="1564"/>
      <c r="H55" s="1564"/>
    </row>
    <row r="56" spans="2:9" x14ac:dyDescent="0.25">
      <c r="B56" s="986"/>
      <c r="C56" s="988"/>
      <c r="D56" s="988"/>
      <c r="E56" s="988"/>
      <c r="F56" s="988"/>
      <c r="G56" s="988"/>
      <c r="H56" s="988"/>
    </row>
    <row r="57" spans="2:9" x14ac:dyDescent="0.25">
      <c r="B57" s="986"/>
      <c r="C57" s="988"/>
      <c r="D57" s="988"/>
      <c r="E57" s="988"/>
      <c r="F57" s="988"/>
      <c r="G57" s="988"/>
      <c r="H57" s="988"/>
    </row>
    <row r="60" spans="2:9" ht="15.5" x14ac:dyDescent="0.35">
      <c r="C60" s="1565" t="s">
        <v>311</v>
      </c>
      <c r="D60" s="1566"/>
      <c r="E60" s="1566"/>
      <c r="F60" s="1567"/>
    </row>
    <row r="62" spans="2:9" ht="30" customHeight="1" x14ac:dyDescent="0.25">
      <c r="C62" s="1568" t="s">
        <v>1706</v>
      </c>
      <c r="D62" s="1568"/>
      <c r="E62" s="1568"/>
      <c r="F62" s="1568"/>
    </row>
    <row r="64" spans="2:9" ht="26.25" customHeight="1" x14ac:dyDescent="0.25">
      <c r="C64" s="476" t="s">
        <v>1704</v>
      </c>
      <c r="D64" s="1562" t="s">
        <v>1705</v>
      </c>
      <c r="E64" s="1562"/>
      <c r="F64" s="1562"/>
      <c r="G64" s="1563" t="s">
        <v>1755</v>
      </c>
      <c r="H64" s="1563"/>
      <c r="I64" s="1563"/>
    </row>
    <row r="65" spans="1:9" ht="26.25" customHeight="1" x14ac:dyDescent="0.25">
      <c r="D65" s="504"/>
      <c r="E65" s="504"/>
      <c r="F65" s="504"/>
      <c r="G65" s="1563"/>
      <c r="H65" s="1563"/>
      <c r="I65" s="1563"/>
    </row>
    <row r="66" spans="1:9" x14ac:dyDescent="0.25">
      <c r="C66" s="476" t="s">
        <v>1707</v>
      </c>
      <c r="D66" s="1562" t="s">
        <v>1708</v>
      </c>
      <c r="E66" s="1562"/>
      <c r="F66" s="1562"/>
      <c r="G66" s="1562" t="s">
        <v>1712</v>
      </c>
      <c r="H66" s="1562"/>
    </row>
    <row r="68" spans="1:9" ht="15.5" x14ac:dyDescent="0.35">
      <c r="C68" s="1565" t="s">
        <v>1711</v>
      </c>
      <c r="D68" s="1566"/>
      <c r="E68" s="1566"/>
      <c r="F68" s="1567"/>
    </row>
    <row r="70" spans="1:9" ht="17.5" x14ac:dyDescent="0.35">
      <c r="A70" s="1570" t="s">
        <v>1710</v>
      </c>
      <c r="B70" s="1570"/>
      <c r="C70" s="1570"/>
      <c r="D70" s="1570"/>
      <c r="E70" s="1570"/>
      <c r="F70" s="1570"/>
      <c r="G70" s="1570"/>
      <c r="H70" s="1570"/>
    </row>
    <row r="71" spans="1:9" x14ac:dyDescent="0.25">
      <c r="A71" s="688"/>
      <c r="B71" s="688"/>
      <c r="C71" s="688"/>
      <c r="D71" s="688"/>
      <c r="E71" s="688"/>
      <c r="F71" s="688"/>
      <c r="G71" s="688"/>
      <c r="H71" s="688"/>
    </row>
    <row r="72" spans="1:9" ht="42" customHeight="1" x14ac:dyDescent="0.35">
      <c r="A72" s="1570"/>
      <c r="B72" s="1570"/>
      <c r="C72" s="1570"/>
      <c r="D72" s="1570"/>
      <c r="E72" s="1570"/>
      <c r="F72" s="1570"/>
      <c r="G72" s="1570"/>
      <c r="H72" s="1570"/>
    </row>
    <row r="73" spans="1:9" x14ac:dyDescent="0.25">
      <c r="C73" s="1573" t="s">
        <v>1211</v>
      </c>
      <c r="D73" s="1573"/>
      <c r="E73" s="1573"/>
      <c r="F73" s="1573"/>
    </row>
    <row r="74" spans="1:9" ht="17.5" x14ac:dyDescent="0.35">
      <c r="A74" s="1571"/>
      <c r="B74" s="1571"/>
      <c r="C74" s="1571"/>
      <c r="D74" s="1571"/>
      <c r="E74" s="1571"/>
      <c r="F74" s="1571"/>
      <c r="G74" s="1571"/>
      <c r="H74" s="1571"/>
    </row>
    <row r="75" spans="1:9" s="823" customFormat="1" x14ac:dyDescent="0.25">
      <c r="A75" s="1574" t="s">
        <v>186</v>
      </c>
      <c r="B75" s="1574"/>
      <c r="C75" s="822" t="s">
        <v>1229</v>
      </c>
      <c r="D75" s="824" t="s">
        <v>1227</v>
      </c>
      <c r="E75" s="822"/>
      <c r="F75" s="822"/>
      <c r="G75" s="822"/>
      <c r="H75" s="822"/>
    </row>
    <row r="76" spans="1:9" s="823" customFormat="1" x14ac:dyDescent="0.25">
      <c r="A76" s="822"/>
      <c r="B76" s="822"/>
      <c r="C76" s="822" t="s">
        <v>1226</v>
      </c>
      <c r="D76" s="824" t="s">
        <v>1228</v>
      </c>
      <c r="E76" s="822"/>
      <c r="F76" s="822"/>
      <c r="G76" s="822"/>
      <c r="H76" s="822"/>
    </row>
    <row r="77" spans="1:9" x14ac:dyDescent="0.25">
      <c r="A77" s="1562"/>
      <c r="B77" s="1562"/>
      <c r="C77" s="476" t="s">
        <v>1212</v>
      </c>
      <c r="D77" s="821" t="s">
        <v>1213</v>
      </c>
    </row>
    <row r="78" spans="1:9" x14ac:dyDescent="0.25">
      <c r="C78" s="476" t="s">
        <v>1215</v>
      </c>
      <c r="D78" s="821" t="s">
        <v>1214</v>
      </c>
    </row>
    <row r="79" spans="1:9" x14ac:dyDescent="0.25">
      <c r="C79" s="476" t="s">
        <v>1216</v>
      </c>
      <c r="D79" s="821" t="s">
        <v>1221</v>
      </c>
    </row>
    <row r="80" spans="1:9" x14ac:dyDescent="0.25">
      <c r="C80" s="476" t="s">
        <v>1217</v>
      </c>
      <c r="D80" s="821" t="s">
        <v>1221</v>
      </c>
    </row>
    <row r="81" spans="1:4" x14ac:dyDescent="0.25">
      <c r="C81" s="476" t="s">
        <v>1218</v>
      </c>
      <c r="D81" s="821" t="s">
        <v>1221</v>
      </c>
    </row>
    <row r="82" spans="1:4" x14ac:dyDescent="0.25">
      <c r="C82" s="476" t="s">
        <v>1219</v>
      </c>
      <c r="D82" s="821" t="s">
        <v>1221</v>
      </c>
    </row>
    <row r="83" spans="1:4" x14ac:dyDescent="0.25">
      <c r="C83" s="476" t="s">
        <v>1220</v>
      </c>
      <c r="D83" s="821" t="s">
        <v>1221</v>
      </c>
    </row>
    <row r="84" spans="1:4" x14ac:dyDescent="0.25">
      <c r="C84" s="476" t="s">
        <v>1222</v>
      </c>
      <c r="D84" s="821" t="s">
        <v>1224</v>
      </c>
    </row>
    <row r="85" spans="1:4" x14ac:dyDescent="0.25">
      <c r="C85" s="476" t="s">
        <v>1223</v>
      </c>
      <c r="D85" s="821" t="s">
        <v>1225</v>
      </c>
    </row>
    <row r="86" spans="1:4" x14ac:dyDescent="0.25">
      <c r="C86" s="476" t="s">
        <v>1111</v>
      </c>
      <c r="D86" s="821" t="s">
        <v>1110</v>
      </c>
    </row>
    <row r="87" spans="1:4" x14ac:dyDescent="0.25">
      <c r="C87" s="476" t="s">
        <v>1112</v>
      </c>
      <c r="D87" s="821" t="s">
        <v>1113</v>
      </c>
    </row>
    <row r="88" spans="1:4" x14ac:dyDescent="0.25">
      <c r="D88" s="821"/>
    </row>
    <row r="89" spans="1:4" x14ac:dyDescent="0.25">
      <c r="A89" s="1562" t="s">
        <v>184</v>
      </c>
      <c r="B89" s="1562"/>
      <c r="C89" s="476" t="s">
        <v>1230</v>
      </c>
      <c r="D89" s="821" t="s">
        <v>1231</v>
      </c>
    </row>
    <row r="90" spans="1:4" x14ac:dyDescent="0.25">
      <c r="C90" s="476" t="s">
        <v>1232</v>
      </c>
      <c r="D90" s="821" t="s">
        <v>1231</v>
      </c>
    </row>
    <row r="91" spans="1:4" x14ac:dyDescent="0.25">
      <c r="C91" s="476" t="s">
        <v>1233</v>
      </c>
      <c r="D91" s="821" t="s">
        <v>1231</v>
      </c>
    </row>
    <row r="92" spans="1:4" x14ac:dyDescent="0.25">
      <c r="C92" s="476" t="s">
        <v>1234</v>
      </c>
      <c r="D92" s="821" t="s">
        <v>1231</v>
      </c>
    </row>
    <row r="95" spans="1:4" x14ac:dyDescent="0.25">
      <c r="C95" s="476" t="s">
        <v>553</v>
      </c>
    </row>
    <row r="97" spans="2:7" x14ac:dyDescent="0.25">
      <c r="B97" s="476">
        <v>1</v>
      </c>
      <c r="C97" s="1569" t="s">
        <v>554</v>
      </c>
      <c r="D97" s="1569"/>
      <c r="E97" s="1569"/>
      <c r="F97" s="1569"/>
      <c r="G97" s="1569"/>
    </row>
    <row r="98" spans="2:7" x14ac:dyDescent="0.25">
      <c r="B98" s="476">
        <v>2</v>
      </c>
      <c r="C98" s="1569" t="s">
        <v>555</v>
      </c>
      <c r="D98" s="1569"/>
      <c r="E98" s="1569"/>
      <c r="F98" s="1569"/>
      <c r="G98" s="1569"/>
    </row>
    <row r="102" spans="2:7" x14ac:dyDescent="0.25">
      <c r="C102" s="684" t="s">
        <v>181</v>
      </c>
      <c r="D102" s="716"/>
      <c r="E102" s="716"/>
    </row>
    <row r="103" spans="2:7" x14ac:dyDescent="0.25">
      <c r="C103" s="683" t="s">
        <v>299</v>
      </c>
      <c r="D103" s="716"/>
      <c r="E103" s="716"/>
    </row>
    <row r="104" spans="2:7" x14ac:dyDescent="0.25">
      <c r="C104" s="683" t="s">
        <v>179</v>
      </c>
      <c r="D104" s="716"/>
      <c r="E104" s="716"/>
    </row>
    <row r="105" spans="2:7" x14ac:dyDescent="0.25">
      <c r="C105" s="683" t="s">
        <v>180</v>
      </c>
      <c r="D105" s="716"/>
      <c r="E105" s="716"/>
    </row>
    <row r="106" spans="2:7" x14ac:dyDescent="0.25">
      <c r="C106" s="178"/>
    </row>
    <row r="107" spans="2:7" x14ac:dyDescent="0.25">
      <c r="C107" s="694" t="s">
        <v>1981</v>
      </c>
      <c r="D107" s="717"/>
    </row>
    <row r="108" spans="2:7" x14ac:dyDescent="0.25">
      <c r="C108" s="694" t="s">
        <v>1982</v>
      </c>
      <c r="D108" s="717"/>
    </row>
  </sheetData>
  <sheetProtection password="C534" sheet="1" objects="1" scenarios="1"/>
  <mergeCells count="55">
    <mergeCell ref="C54:D54"/>
    <mergeCell ref="C5:D5"/>
    <mergeCell ref="C6:D6"/>
    <mergeCell ref="C7:D7"/>
    <mergeCell ref="C8:D8"/>
    <mergeCell ref="C13:D13"/>
    <mergeCell ref="C12:D12"/>
    <mergeCell ref="C19:F19"/>
    <mergeCell ref="C32:F32"/>
    <mergeCell ref="C35:F35"/>
    <mergeCell ref="C14:C16"/>
    <mergeCell ref="C46:C47"/>
    <mergeCell ref="E41:H41"/>
    <mergeCell ref="C53:D53"/>
    <mergeCell ref="E38:H38"/>
    <mergeCell ref="A1:F1"/>
    <mergeCell ref="C9:F9"/>
    <mergeCell ref="C10:D10"/>
    <mergeCell ref="C11:D11"/>
    <mergeCell ref="E3:F3"/>
    <mergeCell ref="B3:D3"/>
    <mergeCell ref="C4:D4"/>
    <mergeCell ref="B38:B39"/>
    <mergeCell ref="C38:C39"/>
    <mergeCell ref="G2:I2"/>
    <mergeCell ref="G9:H12"/>
    <mergeCell ref="B41:B42"/>
    <mergeCell ref="B37:D37"/>
    <mergeCell ref="B43:B44"/>
    <mergeCell ref="B48:B49"/>
    <mergeCell ref="C41:C42"/>
    <mergeCell ref="C43:C44"/>
    <mergeCell ref="C48:C49"/>
    <mergeCell ref="B46:B47"/>
    <mergeCell ref="E54:H54"/>
    <mergeCell ref="E52:H52"/>
    <mergeCell ref="C60:F60"/>
    <mergeCell ref="C62:F62"/>
    <mergeCell ref="C98:G98"/>
    <mergeCell ref="A72:H72"/>
    <mergeCell ref="C68:F68"/>
    <mergeCell ref="A74:H74"/>
    <mergeCell ref="A89:B89"/>
    <mergeCell ref="A70:H70"/>
    <mergeCell ref="C97:G97"/>
    <mergeCell ref="C55:D55"/>
    <mergeCell ref="C52:D52"/>
    <mergeCell ref="C73:F73"/>
    <mergeCell ref="A77:B77"/>
    <mergeCell ref="A75:B75"/>
    <mergeCell ref="D66:F66"/>
    <mergeCell ref="G64:I65"/>
    <mergeCell ref="D64:F64"/>
    <mergeCell ref="G66:H66"/>
    <mergeCell ref="E55:H55"/>
  </mergeCells>
  <phoneticPr fontId="2" type="noConversion"/>
  <pageMargins left="0.45" right="0.17" top="1.1599999999999999" bottom="0.38" header="0.25" footer="7.0000000000000007E-2"/>
  <pageSetup paperSize="9" orientation="landscape" r:id="rId1"/>
  <headerFooter alignWithMargins="0">
    <oddHeader>&amp;L&amp;G&amp;RFOD Volksgezondheid, Veiligheid van de voedselketen en leefmilieu
ICM - Buitendienst Antwerpen - Advies voor risicomanifestaties (PRIMA)</oddHeader>
    <oddFooter>&amp;LProvinciale Commissie voor Dringende Geneeskundige Hulpverlening Antwerpen&amp;C&amp;G&amp;Rcommunicatie : icm.antwerpen@health.fgov.be</oddFooter>
  </headerFooter>
  <rowBreaks count="1" manualBreakCount="1">
    <brk id="55" max="8" man="1"/>
  </rowBreaks>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6">
    <tabColor indexed="49"/>
  </sheetPr>
  <dimension ref="A1:J74"/>
  <sheetViews>
    <sheetView view="pageBreakPreview" zoomScale="75" zoomScaleNormal="75" workbookViewId="0">
      <selection activeCell="G12" sqref="G12"/>
    </sheetView>
  </sheetViews>
  <sheetFormatPr defaultColWidth="9.1796875" defaultRowHeight="15.5" x14ac:dyDescent="0.35"/>
  <cols>
    <col min="1" max="1" width="17.54296875" style="426" customWidth="1"/>
    <col min="2" max="2" width="15.81640625" style="426" customWidth="1"/>
    <col min="3" max="3" width="55.26953125" style="424" customWidth="1"/>
    <col min="4" max="4" width="13.26953125" style="427" customWidth="1"/>
    <col min="5" max="5" width="11.54296875" style="424" bestFit="1" customWidth="1"/>
    <col min="6" max="6" width="20.26953125" style="424" bestFit="1" customWidth="1"/>
    <col min="7" max="7" width="15.26953125" style="424" bestFit="1" customWidth="1"/>
    <col min="8" max="16384" width="9.1796875" style="424"/>
  </cols>
  <sheetData>
    <row r="1" spans="1:10" ht="15" customHeight="1" x14ac:dyDescent="0.35">
      <c r="A1" s="1618" t="s">
        <v>372</v>
      </c>
      <c r="B1" s="1618"/>
      <c r="C1" s="1618"/>
      <c r="D1" s="1618"/>
    </row>
    <row r="2" spans="1:10" x14ac:dyDescent="0.35">
      <c r="A2" s="1618" t="str">
        <f>CIJFERS!C41</f>
        <v>ICM - Buitendienst Antwerpen - Advies voor risicomanifestaties (PRIMA)</v>
      </c>
      <c r="B2" s="1618"/>
      <c r="C2" s="1618"/>
      <c r="D2" s="1618"/>
    </row>
    <row r="3" spans="1:10" x14ac:dyDescent="0.35">
      <c r="A3" s="1619" t="str">
        <f>CIJFERS!C36</f>
        <v>icm.antwerpen@health.fgov.be</v>
      </c>
      <c r="B3" s="1619"/>
      <c r="C3" s="1619"/>
      <c r="D3" s="1619"/>
    </row>
    <row r="4" spans="1:10" ht="31.5" customHeight="1" x14ac:dyDescent="0.35">
      <c r="F4" s="424" t="s">
        <v>1540</v>
      </c>
    </row>
    <row r="5" spans="1:10" ht="18" x14ac:dyDescent="0.35">
      <c r="A5" s="1622" t="s">
        <v>1163</v>
      </c>
      <c r="B5" s="1622"/>
      <c r="C5" s="1622"/>
      <c r="D5" s="1622"/>
      <c r="F5" s="424">
        <v>1</v>
      </c>
    </row>
    <row r="6" spans="1:10" ht="33" customHeight="1" x14ac:dyDescent="0.35">
      <c r="A6" s="1627">
        <f>'LUIK 1 - AANVRAAG'!$G$5</f>
        <v>0</v>
      </c>
      <c r="B6" s="1628"/>
      <c r="C6" s="1628"/>
      <c r="D6" s="1628"/>
      <c r="F6" s="424">
        <v>1</v>
      </c>
    </row>
    <row r="7" spans="1:10" x14ac:dyDescent="0.35">
      <c r="A7" s="1630" t="s">
        <v>2080</v>
      </c>
      <c r="B7" s="1630"/>
      <c r="C7" s="1629">
        <f>'LUIK 1 - AANVRAAG'!$G$3</f>
        <v>0</v>
      </c>
      <c r="D7" s="1629"/>
      <c r="F7" s="424">
        <v>1</v>
      </c>
    </row>
    <row r="8" spans="1:10" ht="15" customHeight="1" x14ac:dyDescent="0.35">
      <c r="A8" s="1612" t="str">
        <f>WERKDOC!A11</f>
        <v>Datum van de manifestatie</v>
      </c>
      <c r="B8" s="1612"/>
      <c r="C8" s="1612"/>
      <c r="D8" s="425">
        <f>WERKDOC!B11</f>
        <v>0</v>
      </c>
      <c r="F8" s="424">
        <v>1</v>
      </c>
    </row>
    <row r="9" spans="1:10" x14ac:dyDescent="0.35">
      <c r="A9" s="1612" t="str">
        <f>WERKDOC!A12</f>
        <v>Totale populatie waarmee rekening gehouden wordt (na correctie)</v>
      </c>
      <c r="B9" s="1612"/>
      <c r="C9" s="1612"/>
      <c r="D9" s="508" t="str">
        <f>IF(OR('LUIK 4 - RISICO''S VGZ'!D52=0,'LUIK3 + SCORE'!F126=0),WERKDOC!B12,"?")</f>
        <v>?</v>
      </c>
      <c r="F9" s="424">
        <v>1</v>
      </c>
    </row>
    <row r="10" spans="1:10" ht="15" customHeight="1" x14ac:dyDescent="0.35">
      <c r="A10" s="1612" t="str">
        <f>WERKDOC!A13</f>
        <v>Totale duur van de manifestatie in uren</v>
      </c>
      <c r="B10" s="1612"/>
      <c r="C10" s="1612"/>
      <c r="D10" s="508" t="str">
        <f>IF(OR('LUIK 4 - RISICO''S VGZ'!D52=0,'LUIK3 + SCORE'!F126=0),WERKDOC!B13,"?")</f>
        <v>?</v>
      </c>
      <c r="F10" s="424">
        <v>1</v>
      </c>
    </row>
    <row r="11" spans="1:10" ht="15" customHeight="1" x14ac:dyDescent="0.35">
      <c r="A11" s="1612" t="str">
        <f>WERKDOC!A14</f>
        <v>Maximale populatie die tegelijk aanwezig is</v>
      </c>
      <c r="B11" s="1612"/>
      <c r="C11" s="1612"/>
      <c r="D11" s="508" t="str">
        <f>IF(OR('LUIK 4 - RISICO''S VGZ'!$D$52=0,'LUIK3 + SCORE'!F126=0),WERKDOC!$B14,"?")</f>
        <v>?</v>
      </c>
      <c r="F11" s="424">
        <v>1</v>
      </c>
    </row>
    <row r="12" spans="1:10" ht="15" customHeight="1" x14ac:dyDescent="0.35">
      <c r="A12" s="1612" t="str">
        <f>WERKDOC!A15</f>
        <v>Maximale duur dat deze populatie ter plaatse reëel aanwezig is in uren</v>
      </c>
      <c r="B12" s="1612"/>
      <c r="C12" s="1612"/>
      <c r="D12" s="508" t="str">
        <f>IF(OR('LUIK 4 - RISICO''S VGZ'!$D$52=0,'LUIK3 + SCORE'!F126=0),WERKDOC!$B15,"?")</f>
        <v>?</v>
      </c>
      <c r="F12" s="424">
        <v>1</v>
      </c>
    </row>
    <row r="13" spans="1:10" ht="12.75" customHeight="1" x14ac:dyDescent="0.35">
      <c r="F13" s="424">
        <v>1</v>
      </c>
    </row>
    <row r="14" spans="1:10" ht="18" x14ac:dyDescent="0.35">
      <c r="A14" s="1623" t="s">
        <v>1164</v>
      </c>
      <c r="B14" s="1623"/>
      <c r="C14" s="1623"/>
      <c r="D14" s="1623"/>
      <c r="F14" s="424">
        <v>1</v>
      </c>
      <c r="G14" s="1606" t="s">
        <v>1177</v>
      </c>
      <c r="H14" s="1606"/>
      <c r="I14" s="1606"/>
      <c r="J14" s="1606"/>
    </row>
    <row r="15" spans="1:10" x14ac:dyDescent="0.35">
      <c r="A15" s="428"/>
      <c r="B15" s="428"/>
      <c r="F15" s="424">
        <v>1</v>
      </c>
      <c r="G15" s="1606"/>
      <c r="H15" s="1606"/>
      <c r="I15" s="1606"/>
      <c r="J15" s="1606"/>
    </row>
    <row r="16" spans="1:10" x14ac:dyDescent="0.35">
      <c r="A16" s="428" t="s">
        <v>1165</v>
      </c>
      <c r="B16" s="428"/>
      <c r="F16" s="424">
        <v>1</v>
      </c>
      <c r="G16" s="1606"/>
      <c r="H16" s="1606"/>
      <c r="I16" s="1606"/>
      <c r="J16" s="1606"/>
    </row>
    <row r="17" spans="1:10" ht="6.75" customHeight="1" x14ac:dyDescent="0.35">
      <c r="F17" s="424">
        <v>1</v>
      </c>
      <c r="G17" s="1606"/>
      <c r="H17" s="1606"/>
      <c r="I17" s="1606"/>
      <c r="J17" s="1606"/>
    </row>
    <row r="18" spans="1:10" ht="15" customHeight="1" x14ac:dyDescent="0.35">
      <c r="A18" s="1609" t="str">
        <f>WERKDOC!A17</f>
        <v>Is er nood aan een medische antenne bij deze manifestatie</v>
      </c>
      <c r="B18" s="1610"/>
      <c r="C18" s="1611"/>
      <c r="D18" s="508" t="str">
        <f>IF(OR('LUIK 4 - RISICO''S VGZ'!$D$50&lt;&gt;0,'LUIK3 + SCORE'!F124&lt;&gt;0),"?",LUIK5!E16)</f>
        <v>?</v>
      </c>
      <c r="F18" s="424">
        <v>1</v>
      </c>
      <c r="G18" s="1606"/>
      <c r="H18" s="1606"/>
      <c r="I18" s="1606"/>
      <c r="J18" s="1606"/>
    </row>
    <row r="19" spans="1:10" ht="15" customHeight="1" x14ac:dyDescent="0.35">
      <c r="A19" s="1609" t="str">
        <f>WERKDOC!A18</f>
        <v>Is er nood aan extra maatregelen i.v.m. de volksgezondheid</v>
      </c>
      <c r="B19" s="1610"/>
      <c r="C19" s="1611"/>
      <c r="D19" s="508" t="str">
        <f>IF(OR('LUIK 4 - RISICO''S VGZ'!$D$52=0,'LUIK3 + SCORE'!F126=0),WERKDOC!$B18,"?")</f>
        <v>?</v>
      </c>
      <c r="F19" s="424">
        <v>1</v>
      </c>
      <c r="G19" s="1606"/>
      <c r="H19" s="1606"/>
      <c r="I19" s="1606"/>
      <c r="J19" s="1606"/>
    </row>
    <row r="20" spans="1:10" ht="15" customHeight="1" x14ac:dyDescent="0.35">
      <c r="A20" s="1609" t="str">
        <f>WERKDOC!A19</f>
        <v>Is er nood aan maatregelen voor een eventuele camping</v>
      </c>
      <c r="B20" s="1610"/>
      <c r="C20" s="1611"/>
      <c r="D20" s="508" t="str">
        <f>IF(OR('LUIK 4 - RISICO''S VGZ'!$D$52=0,'LUIK3 + SCORE'!F126=0),WERKDOC!$B19,"?")</f>
        <v>?</v>
      </c>
      <c r="F20" s="424">
        <v>1</v>
      </c>
      <c r="G20" s="1606"/>
      <c r="H20" s="1606"/>
      <c r="I20" s="1606"/>
      <c r="J20" s="1606"/>
    </row>
    <row r="21" spans="1:10" x14ac:dyDescent="0.35">
      <c r="D21" s="424"/>
      <c r="F21" s="424">
        <v>1</v>
      </c>
      <c r="G21" s="1606"/>
      <c r="H21" s="1606"/>
      <c r="I21" s="1606"/>
      <c r="J21" s="1606"/>
    </row>
    <row r="22" spans="1:10" x14ac:dyDescent="0.35">
      <c r="A22" s="428" t="s">
        <v>1166</v>
      </c>
      <c r="B22" s="428"/>
      <c r="D22" s="424"/>
      <c r="F22" s="424">
        <v>1</v>
      </c>
      <c r="G22" s="1606"/>
      <c r="H22" s="1606"/>
      <c r="I22" s="1606"/>
      <c r="J22" s="1606"/>
    </row>
    <row r="23" spans="1:10" ht="6" customHeight="1" x14ac:dyDescent="0.35">
      <c r="D23" s="424"/>
      <c r="F23" s="424">
        <v>1</v>
      </c>
      <c r="G23" s="1606"/>
      <c r="H23" s="1606"/>
      <c r="I23" s="1606"/>
      <c r="J23" s="1606"/>
    </row>
    <row r="24" spans="1:10" x14ac:dyDescent="0.35">
      <c r="A24" s="429" t="s">
        <v>1167</v>
      </c>
      <c r="B24" s="429"/>
      <c r="D24" s="424"/>
      <c r="F24" s="424">
        <v>1</v>
      </c>
      <c r="G24" s="1606"/>
      <c r="H24" s="1606"/>
      <c r="I24" s="1606"/>
      <c r="J24" s="1606"/>
    </row>
    <row r="25" spans="1:10" ht="4.5" customHeight="1" x14ac:dyDescent="0.35">
      <c r="D25" s="424"/>
      <c r="F25" s="424">
        <v>1</v>
      </c>
      <c r="G25" s="1606"/>
      <c r="H25" s="1606"/>
      <c r="I25" s="1606"/>
      <c r="J25" s="1606"/>
    </row>
    <row r="26" spans="1:10" ht="15" customHeight="1" x14ac:dyDescent="0.35">
      <c r="A26" s="1609" t="str">
        <f>WERKDOC!A21</f>
        <v>Aantal levensbedreigende aandoeningen (na regulatie)</v>
      </c>
      <c r="B26" s="1610"/>
      <c r="C26" s="1611"/>
      <c r="D26" s="778" t="str">
        <f>IF(OR('LUIK 4 - RISICO''S VGZ'!$D$52=0,'LUIK3 + SCORE'!F126=0),WERKDOC!$B21,"?")</f>
        <v>?</v>
      </c>
      <c r="F26" s="424">
        <v>1</v>
      </c>
      <c r="G26" s="1606"/>
      <c r="H26" s="1606"/>
      <c r="I26" s="1606"/>
      <c r="J26" s="1606"/>
    </row>
    <row r="27" spans="1:10" ht="30" customHeight="1" x14ac:dyDescent="0.35">
      <c r="A27" s="1609" t="str">
        <f>WERKDOC!A22</f>
        <v>Aantal dringende aandoeningen (vraag voor arts en/of voor ambulancetransport naar ziekenhuis)</v>
      </c>
      <c r="B27" s="1610"/>
      <c r="C27" s="1611"/>
      <c r="D27" s="778" t="str">
        <f>IF(OR('LUIK 4 - RISICO''S VGZ'!$D$52=0,'LUIK3 + SCORE'!F126=0),WERKDOC!$B22,"?")</f>
        <v>?</v>
      </c>
      <c r="F27" s="424">
        <v>1</v>
      </c>
      <c r="G27" s="1606"/>
      <c r="H27" s="1606"/>
      <c r="I27" s="1606"/>
      <c r="J27" s="1606"/>
    </row>
    <row r="28" spans="1:10" ht="15" customHeight="1" x14ac:dyDescent="0.35">
      <c r="A28" s="1609" t="str">
        <f>WERKDOC!A23</f>
        <v>Aantal vragen voor (eenvoudige) medische verzorging</v>
      </c>
      <c r="B28" s="1610"/>
      <c r="C28" s="1611"/>
      <c r="D28" s="778" t="str">
        <f>IF(OR('LUIK 4 - RISICO''S VGZ'!$D$52=0,'LUIK3 + SCORE'!F126=0),WERKDOC!$B23,"?")</f>
        <v>?</v>
      </c>
      <c r="F28" s="424">
        <v>1</v>
      </c>
    </row>
    <row r="29" spans="1:10" ht="15" customHeight="1" x14ac:dyDescent="0.35">
      <c r="A29" s="1609" t="str">
        <f>WERKDOC!A24</f>
        <v>Totaal aantal te verzorgen personen</v>
      </c>
      <c r="B29" s="1610"/>
      <c r="C29" s="1611"/>
      <c r="D29" s="778" t="str">
        <f>IF(OR('LUIK 4 - RISICO''S VGZ'!$D$52=0,'LUIK3 + SCORE'!F126=0),WERKDOC!$B24,"?")</f>
        <v>?</v>
      </c>
      <c r="F29" s="424">
        <v>1</v>
      </c>
    </row>
    <row r="30" spans="1:10" x14ac:dyDescent="0.35">
      <c r="A30" s="1609" t="str">
        <f>WERKDOC!A25</f>
        <v>Aantal simultane behandelingen en dus te voorzien aantal plaatsen in de hulppost(en)</v>
      </c>
      <c r="B30" s="1610"/>
      <c r="C30" s="1611"/>
      <c r="D30" s="778" t="str">
        <f>IF(OR('LUIK 4 - RISICO''S VGZ'!$D$52=0,'LUIK3 + SCORE'!$F$126=0),WERKDOC!$B25,"?")</f>
        <v>?</v>
      </c>
      <c r="F30" s="424">
        <v>1</v>
      </c>
    </row>
    <row r="31" spans="1:10" x14ac:dyDescent="0.35">
      <c r="D31" s="424"/>
      <c r="F31" s="424">
        <v>1</v>
      </c>
    </row>
    <row r="32" spans="1:10" x14ac:dyDescent="0.35">
      <c r="A32" s="428" t="s">
        <v>839</v>
      </c>
      <c r="B32" s="428"/>
      <c r="D32" s="424"/>
      <c r="F32" s="424">
        <v>1</v>
      </c>
    </row>
    <row r="33" spans="1:6" ht="6.75" customHeight="1" x14ac:dyDescent="0.35">
      <c r="D33" s="424"/>
      <c r="F33" s="424">
        <v>1</v>
      </c>
    </row>
    <row r="34" spans="1:6" ht="15.75" customHeight="1" x14ac:dyDescent="0.35">
      <c r="A34" s="429" t="s">
        <v>841</v>
      </c>
      <c r="B34" s="429"/>
      <c r="D34" s="424"/>
      <c r="F34" s="424">
        <v>1</v>
      </c>
    </row>
    <row r="35" spans="1:6" ht="6.75" customHeight="1" x14ac:dyDescent="0.35">
      <c r="D35" s="424"/>
      <c r="F35" s="424">
        <v>1</v>
      </c>
    </row>
    <row r="36" spans="1:6" ht="29.25" customHeight="1" x14ac:dyDescent="0.35">
      <c r="A36" s="1609" t="str">
        <f>WERKDOC!A30</f>
        <v>Minimaal aantal BLS-ploegen</v>
      </c>
      <c r="B36" s="1610"/>
      <c r="C36" s="1611"/>
      <c r="D36" s="1101">
        <f>IF(AND('LUIK3 + SCORE'!E10="",'LUIK3 + SCORE'!I11=""),"oppervlakte in luik 3 ?",IF(OR('LUIK 4 - RISICO''S VGZ'!$D$52=0,'LUIK3 + SCORE'!F116=0),IF('LUIK 2 - RISICOVRAAG'!E10="NEEN",0,WERKDOC!$B30),"?"))</f>
        <v>0</v>
      </c>
      <c r="F36" s="424">
        <v>1</v>
      </c>
    </row>
    <row r="37" spans="1:6" ht="30" customHeight="1" x14ac:dyDescent="0.35">
      <c r="A37" s="1609" t="str">
        <f>WERKDOC!A31</f>
        <v>Minimaal aantal overige hulpverleners (exclusief de BLS-ploegen en de hulpverleners-ambulancier)</v>
      </c>
      <c r="B37" s="1610"/>
      <c r="C37" s="1611"/>
      <c r="D37" s="778" t="str">
        <f>IF(OR('LUIK 4 - RISICO''S VGZ'!$D$52=0,'LUIK3 + SCORE'!F126=0),WERKDOC!$B31,"?")</f>
        <v>?</v>
      </c>
      <c r="F37" s="424">
        <v>1</v>
      </c>
    </row>
    <row r="38" spans="1:6" ht="8.25" customHeight="1" x14ac:dyDescent="0.35">
      <c r="A38" s="430"/>
      <c r="B38" s="430"/>
      <c r="C38" s="430"/>
      <c r="D38" s="424"/>
      <c r="F38" s="424">
        <v>1</v>
      </c>
    </row>
    <row r="39" spans="1:6" ht="30" customHeight="1" x14ac:dyDescent="0.35">
      <c r="A39" s="1609" t="str">
        <f>WERKDOC!A36</f>
        <v>Mag de functie van hulpverlener-BLS en hulpverlener in de hulppost gecombineerd worden</v>
      </c>
      <c r="B39" s="1610"/>
      <c r="C39" s="1611"/>
      <c r="D39" s="509" t="s">
        <v>1502</v>
      </c>
      <c r="E39" s="426"/>
      <c r="F39" s="424">
        <v>1</v>
      </c>
    </row>
    <row r="40" spans="1:6" ht="9" customHeight="1" x14ac:dyDescent="0.35">
      <c r="C40" s="426"/>
      <c r="D40" s="424"/>
      <c r="F40" s="424">
        <v>1</v>
      </c>
    </row>
    <row r="41" spans="1:6" x14ac:dyDescent="0.35">
      <c r="A41" s="429" t="s">
        <v>842</v>
      </c>
      <c r="B41" s="429"/>
      <c r="C41" s="429"/>
      <c r="D41" s="424"/>
      <c r="F41" s="424">
        <v>1</v>
      </c>
    </row>
    <row r="42" spans="1:6" ht="6.75" customHeight="1" x14ac:dyDescent="0.35">
      <c r="C42" s="426"/>
      <c r="D42" s="424"/>
      <c r="F42" s="424">
        <v>1</v>
      </c>
    </row>
    <row r="43" spans="1:6" ht="15" customHeight="1" x14ac:dyDescent="0.35">
      <c r="A43" s="1624" t="str">
        <f>WERKDOC!A38</f>
        <v>Minimale oppervlakte voor de hulppost</v>
      </c>
      <c r="B43" s="1625"/>
      <c r="C43" s="1626"/>
      <c r="D43" s="508" t="str">
        <f>IF(OR('LUIK 4 - RISICO''S VGZ'!$D$52=0,'LUIK3 + SCORE'!F126=0),WERKDOC!$B38,"?")</f>
        <v>?</v>
      </c>
      <c r="F43" s="424">
        <v>1</v>
      </c>
    </row>
    <row r="44" spans="1:6" x14ac:dyDescent="0.35">
      <c r="A44" s="1624" t="str">
        <f>WERKDOC!A40</f>
        <v>Moet de hulpverlening verdeeld worden over meerdere hulpposten</v>
      </c>
      <c r="B44" s="1625"/>
      <c r="C44" s="1626"/>
      <c r="D44" s="508" t="s">
        <v>1502</v>
      </c>
      <c r="F44" s="424">
        <v>1</v>
      </c>
    </row>
    <row r="45" spans="1:6" x14ac:dyDescent="0.35">
      <c r="F45" s="424">
        <v>1</v>
      </c>
    </row>
    <row r="46" spans="1:6" x14ac:dyDescent="0.35">
      <c r="A46" s="428" t="s">
        <v>402</v>
      </c>
      <c r="B46" s="428"/>
      <c r="F46" s="983">
        <f>IF(D$18="NEEN",0,1)</f>
        <v>1</v>
      </c>
    </row>
    <row r="47" spans="1:6" ht="4.5" customHeight="1" thickBot="1" x14ac:dyDescent="0.4">
      <c r="F47" s="983">
        <f>IF(D$18="NEEN",0,1)</f>
        <v>1</v>
      </c>
    </row>
    <row r="48" spans="1:6" ht="16" thickBot="1" x14ac:dyDescent="0.4">
      <c r="A48" s="1102" t="s">
        <v>1820</v>
      </c>
      <c r="B48" s="1103" t="s">
        <v>1821</v>
      </c>
      <c r="C48" s="1614" t="s">
        <v>1822</v>
      </c>
      <c r="D48" s="1615"/>
      <c r="F48" s="983">
        <f>IF(D$18="NEEN",0,1)</f>
        <v>1</v>
      </c>
    </row>
    <row r="49" spans="1:6" ht="16" thickBot="1" x14ac:dyDescent="0.4">
      <c r="A49" s="1041" t="s">
        <v>461</v>
      </c>
      <c r="B49" s="1106" t="s">
        <v>462</v>
      </c>
      <c r="C49" s="1620" t="s">
        <v>464</v>
      </c>
      <c r="D49" s="1621"/>
      <c r="F49" s="983" t="e">
        <f>IF(D$18="NEEN",0,IF(INTERPRETATIE!$J$91=0,1,0))</f>
        <v>#DIV/0!</v>
      </c>
    </row>
    <row r="50" spans="1:6" x14ac:dyDescent="0.35">
      <c r="A50" s="1104" t="s">
        <v>2312</v>
      </c>
      <c r="B50" s="1105" t="s">
        <v>2092</v>
      </c>
      <c r="C50" s="1616" t="s">
        <v>2315</v>
      </c>
      <c r="D50" s="1617"/>
      <c r="F50" s="983" t="e">
        <f>IF(D$18="NEEN",0,IF(INTERPRETATIE!$J$91=1,1,0))</f>
        <v>#DIV/0!</v>
      </c>
    </row>
    <row r="51" spans="1:6" ht="16" thickBot="1" x14ac:dyDescent="0.4">
      <c r="A51" s="431" t="s">
        <v>2312</v>
      </c>
      <c r="B51" s="432" t="s">
        <v>2092</v>
      </c>
      <c r="C51" s="1607" t="s">
        <v>2314</v>
      </c>
      <c r="D51" s="1608"/>
      <c r="F51" s="983" t="e">
        <f>IF(D$18="NEEN",0,IF(INTERPRETATIE!$J$91=1,1,0))</f>
        <v>#DIV/0!</v>
      </c>
    </row>
    <row r="52" spans="1:6" x14ac:dyDescent="0.35">
      <c r="F52" s="983" t="e">
        <f>IF(D$18="NEEN",0,IF(INTERPRETATIE!$J$91=1,1,0))</f>
        <v>#DIV/0!</v>
      </c>
    </row>
    <row r="53" spans="1:6" x14ac:dyDescent="0.35">
      <c r="A53" s="1613" t="s">
        <v>1481</v>
      </c>
      <c r="B53" s="1613"/>
      <c r="C53" s="1613"/>
      <c r="D53" s="1613"/>
      <c r="F53" s="424">
        <v>1</v>
      </c>
    </row>
    <row r="54" spans="1:6" ht="8.25" customHeight="1" x14ac:dyDescent="0.35">
      <c r="A54" s="962"/>
      <c r="B54" s="962"/>
      <c r="C54" s="866"/>
      <c r="D54" s="866"/>
      <c r="F54" s="424">
        <v>1</v>
      </c>
    </row>
    <row r="55" spans="1:6" x14ac:dyDescent="0.35">
      <c r="A55" s="963" t="s">
        <v>1482</v>
      </c>
      <c r="B55" s="962"/>
      <c r="C55" s="866"/>
      <c r="D55" s="866"/>
      <c r="F55" s="424">
        <v>1</v>
      </c>
    </row>
    <row r="56" spans="1:6" ht="6.75" customHeight="1" x14ac:dyDescent="0.35">
      <c r="A56" s="962"/>
      <c r="B56" s="962"/>
      <c r="C56" s="866"/>
      <c r="D56" s="866"/>
      <c r="F56" s="424">
        <v>1</v>
      </c>
    </row>
    <row r="57" spans="1:6" x14ac:dyDescent="0.35">
      <c r="A57" s="931" t="s">
        <v>1483</v>
      </c>
      <c r="B57" s="932"/>
      <c r="C57" s="1604" t="str">
        <f>IF('LUIK 1 - AANVRAAG'!G25="","niet ingevuld",'LUIK 1 - AANVRAAG'!G25)</f>
        <v>niet ingevuld</v>
      </c>
      <c r="D57" s="1605"/>
      <c r="F57" s="424">
        <v>1</v>
      </c>
    </row>
    <row r="58" spans="1:6" x14ac:dyDescent="0.35">
      <c r="A58" s="931" t="s">
        <v>1484</v>
      </c>
      <c r="B58" s="932"/>
      <c r="C58" s="1604" t="str">
        <f>IF('LUIK 1 - AANVRAAG'!G24="","niet ingevuld",'LUIK 1 - AANVRAAG'!G24)</f>
        <v>niet ingevuld</v>
      </c>
      <c r="D58" s="1605"/>
      <c r="F58" s="424">
        <v>1</v>
      </c>
    </row>
    <row r="59" spans="1:6" x14ac:dyDescent="0.35">
      <c r="A59" s="931" t="s">
        <v>438</v>
      </c>
      <c r="B59" s="932"/>
      <c r="C59" s="1604" t="str">
        <f>IF('LUIK 1 - AANVRAAG'!G30="","niet ingevuld",'LUIK 1 - AANVRAAG'!G30)</f>
        <v>niet ingevuld</v>
      </c>
      <c r="D59" s="1605"/>
      <c r="F59" s="424">
        <v>1</v>
      </c>
    </row>
    <row r="60" spans="1:6" x14ac:dyDescent="0.35">
      <c r="A60" s="931" t="s">
        <v>437</v>
      </c>
      <c r="B60" s="932"/>
      <c r="C60" s="1604" t="str">
        <f>IF('LUIK 1 - AANVRAAG'!G31="","niet ingevuld",'LUIK 1 - AANVRAAG'!G31)</f>
        <v>niet ingevuld</v>
      </c>
      <c r="D60" s="1605"/>
      <c r="F60" s="424">
        <v>1</v>
      </c>
    </row>
    <row r="61" spans="1:6" ht="6" customHeight="1" x14ac:dyDescent="0.35">
      <c r="A61" s="962"/>
      <c r="B61" s="962"/>
      <c r="C61" s="866"/>
      <c r="D61" s="866"/>
      <c r="F61" s="424">
        <v>1</v>
      </c>
    </row>
    <row r="62" spans="1:6" x14ac:dyDescent="0.35">
      <c r="A62" s="963" t="s">
        <v>1485</v>
      </c>
      <c r="B62" s="962"/>
      <c r="C62" s="866"/>
      <c r="D62" s="866"/>
      <c r="F62" s="424">
        <v>1</v>
      </c>
    </row>
    <row r="63" spans="1:6" ht="6" customHeight="1" x14ac:dyDescent="0.35">
      <c r="A63" s="962"/>
      <c r="B63" s="962"/>
      <c r="C63" s="866"/>
      <c r="D63" s="866"/>
      <c r="F63" s="424">
        <v>1</v>
      </c>
    </row>
    <row r="64" spans="1:6" x14ac:dyDescent="0.35">
      <c r="A64" s="931" t="s">
        <v>1483</v>
      </c>
      <c r="B64" s="932"/>
      <c r="C64" s="1604" t="str">
        <f>IF(D36&lt;0,"Niet van toepassing",IF('LUIK 1 - AANVRAAG'!G34="","niet ingevuld",'LUIK 1 - AANVRAAG'!G34))</f>
        <v>niet ingevuld</v>
      </c>
      <c r="D64" s="1605"/>
      <c r="F64" s="424">
        <v>1</v>
      </c>
    </row>
    <row r="65" spans="1:6" x14ac:dyDescent="0.35">
      <c r="A65" s="931" t="s">
        <v>1484</v>
      </c>
      <c r="B65" s="932"/>
      <c r="C65" s="1604" t="str">
        <f>IF(D36&lt;0,"Niet van toepassing",IF('LUIK 1 - AANVRAAG'!G39="","niet ingevuld",'LUIK 1 - AANVRAAG'!G39))</f>
        <v>niet ingevuld</v>
      </c>
      <c r="D65" s="1605"/>
      <c r="F65" s="424">
        <v>1</v>
      </c>
    </row>
    <row r="66" spans="1:6" x14ac:dyDescent="0.35">
      <c r="A66" s="931" t="s">
        <v>438</v>
      </c>
      <c r="B66" s="932"/>
      <c r="C66" s="1604" t="str">
        <f>IF(D36&lt;0,"Niet van toepassing",IF('LUIK 1 - AANVRAAG'!G40="","niet ingevuld",'LUIK 1 - AANVRAAG'!G40))</f>
        <v>niet ingevuld</v>
      </c>
      <c r="D66" s="1605"/>
      <c r="F66" s="424">
        <v>1</v>
      </c>
    </row>
    <row r="67" spans="1:6" x14ac:dyDescent="0.35">
      <c r="A67" s="931" t="s">
        <v>437</v>
      </c>
      <c r="B67" s="932"/>
      <c r="C67" s="1604" t="str">
        <f>IF(D36&lt;0,"Niet van toepassing",IF('LUIK 1 - AANVRAAG'!G41="","niet ingevuld",'LUIK 1 - AANVRAAG'!G41))</f>
        <v>niet ingevuld</v>
      </c>
      <c r="D67" s="1605"/>
      <c r="F67" s="424">
        <v>1</v>
      </c>
    </row>
    <row r="68" spans="1:6" ht="6" customHeight="1" x14ac:dyDescent="0.35">
      <c r="A68" s="962"/>
      <c r="B68" s="962"/>
      <c r="C68" s="866"/>
      <c r="D68" s="866"/>
      <c r="F68" s="424">
        <v>1</v>
      </c>
    </row>
    <row r="69" spans="1:6" x14ac:dyDescent="0.35">
      <c r="A69" s="963" t="s">
        <v>1486</v>
      </c>
      <c r="B69" s="962"/>
      <c r="C69" s="866"/>
      <c r="D69" s="866"/>
      <c r="F69" s="424">
        <v>1</v>
      </c>
    </row>
    <row r="70" spans="1:6" ht="6" customHeight="1" x14ac:dyDescent="0.35">
      <c r="A70" s="962"/>
      <c r="B70" s="962"/>
      <c r="C70" s="866"/>
      <c r="D70" s="866"/>
      <c r="F70" s="424">
        <v>1</v>
      </c>
    </row>
    <row r="71" spans="1:6" x14ac:dyDescent="0.35">
      <c r="A71" s="931" t="s">
        <v>1921</v>
      </c>
      <c r="B71" s="932"/>
      <c r="C71" s="1604" t="str">
        <f>IF('LUIK 1 - AANVRAAG'!G53="","niet ingevuld",'LUIK 1 - AANVRAAG'!G53)</f>
        <v>niet ingevuld</v>
      </c>
      <c r="D71" s="1605"/>
      <c r="F71" s="424">
        <v>1</v>
      </c>
    </row>
    <row r="72" spans="1:6" x14ac:dyDescent="0.35">
      <c r="A72" s="931" t="s">
        <v>1922</v>
      </c>
      <c r="B72" s="932"/>
      <c r="C72" s="1604" t="str">
        <f>IF('LUIK 1 - AANVRAAG'!G55="","niet ingevuld",'LUIK 1 - AANVRAAG'!G55)</f>
        <v>niet ingevuld</v>
      </c>
      <c r="D72" s="1605"/>
      <c r="F72" s="424">
        <v>1</v>
      </c>
    </row>
    <row r="73" spans="1:6" x14ac:dyDescent="0.35">
      <c r="A73" s="962"/>
      <c r="B73" s="962"/>
      <c r="C73" s="866"/>
      <c r="D73" s="866"/>
    </row>
    <row r="74" spans="1:6" x14ac:dyDescent="0.35">
      <c r="A74" s="962"/>
      <c r="B74" s="962"/>
      <c r="C74" s="866"/>
      <c r="D74" s="866"/>
      <c r="F74" s="424" t="s">
        <v>1975</v>
      </c>
    </row>
  </sheetData>
  <sheetProtection sheet="1" objects="1" scenarios="1" selectLockedCells="1" selectUnlockedCells="1"/>
  <autoFilter ref="F4:F74" xr:uid="{00000000-0009-0000-0000-000010000000}"/>
  <mergeCells count="42">
    <mergeCell ref="A1:D1"/>
    <mergeCell ref="A2:D2"/>
    <mergeCell ref="A3:D3"/>
    <mergeCell ref="C49:D49"/>
    <mergeCell ref="A5:D5"/>
    <mergeCell ref="A14:D14"/>
    <mergeCell ref="A43:C43"/>
    <mergeCell ref="A44:C44"/>
    <mergeCell ref="A39:C39"/>
    <mergeCell ref="A27:C27"/>
    <mergeCell ref="A28:C28"/>
    <mergeCell ref="A29:C29"/>
    <mergeCell ref="A6:D6"/>
    <mergeCell ref="C7:D7"/>
    <mergeCell ref="A7:B7"/>
    <mergeCell ref="A12:C12"/>
    <mergeCell ref="A8:C8"/>
    <mergeCell ref="A9:C9"/>
    <mergeCell ref="A10:C10"/>
    <mergeCell ref="A11:C11"/>
    <mergeCell ref="C57:D57"/>
    <mergeCell ref="A53:D53"/>
    <mergeCell ref="A36:C36"/>
    <mergeCell ref="A37:C37"/>
    <mergeCell ref="A30:C30"/>
    <mergeCell ref="C48:D48"/>
    <mergeCell ref="C50:D50"/>
    <mergeCell ref="C58:D58"/>
    <mergeCell ref="C59:D59"/>
    <mergeCell ref="C60:D60"/>
    <mergeCell ref="G14:J27"/>
    <mergeCell ref="C51:D51"/>
    <mergeCell ref="A18:C18"/>
    <mergeCell ref="A19:C19"/>
    <mergeCell ref="A20:C20"/>
    <mergeCell ref="A26:C26"/>
    <mergeCell ref="C71:D71"/>
    <mergeCell ref="C72:D72"/>
    <mergeCell ref="C64:D64"/>
    <mergeCell ref="C65:D65"/>
    <mergeCell ref="C66:D66"/>
    <mergeCell ref="C67:D67"/>
  </mergeCells>
  <phoneticPr fontId="2" type="noConversion"/>
  <conditionalFormatting sqref="D36">
    <cfRule type="cellIs" dxfId="0" priority="1" stopIfTrue="1" operator="equal">
      <formula>"oppervlakte in luik 3 ?"</formula>
    </cfRule>
  </conditionalFormatting>
  <pageMargins left="0.57999999999999996" right="0.5" top="0.52" bottom="0.8" header="0.25" footer="0.12"/>
  <pageSetup paperSize="9" scale="91" orientation="portrait" verticalDpi="2" r:id="rId1"/>
  <headerFooter alignWithMargins="0">
    <oddHeader>&amp;R&amp;F</oddHeader>
    <oddFooter>&amp;LProvinciale Commissie voor
Dringende Geneeskundige
Hulpverlening&amp;C&amp;G&amp;RVersie  24 - &amp;P/&amp;N
Datum outprint : &amp;D</oddFooter>
  </headerFooter>
  <rowBreaks count="1" manualBreakCount="1">
    <brk id="52" max="3" man="1"/>
  </rowBreaks>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9">
    <tabColor indexed="49"/>
  </sheetPr>
  <dimension ref="A1:F134"/>
  <sheetViews>
    <sheetView view="pageBreakPreview" zoomScale="75" zoomScaleNormal="75" workbookViewId="0">
      <selection activeCell="F1" sqref="F1:F65536"/>
    </sheetView>
  </sheetViews>
  <sheetFormatPr defaultColWidth="9.1796875" defaultRowHeight="15.5" x14ac:dyDescent="0.35"/>
  <cols>
    <col min="1" max="1" width="22.54296875" style="328" bestFit="1" customWidth="1"/>
    <col min="2" max="2" width="30.81640625" style="328" bestFit="1" customWidth="1"/>
    <col min="3" max="3" width="51.26953125" style="328" customWidth="1"/>
    <col min="4" max="4" width="51.26953125" style="318" customWidth="1"/>
    <col min="5" max="5" width="9.26953125" style="326" customWidth="1"/>
    <col min="6" max="6" width="9.453125" style="326" customWidth="1"/>
    <col min="7" max="7" width="6.81640625" style="318" customWidth="1"/>
    <col min="8" max="16384" width="9.1796875" style="318"/>
  </cols>
  <sheetData>
    <row r="1" spans="1:6" x14ac:dyDescent="0.35">
      <c r="C1" s="1722" t="s">
        <v>372</v>
      </c>
      <c r="D1" s="1722"/>
      <c r="E1" s="1722"/>
    </row>
    <row r="2" spans="1:6" x14ac:dyDescent="0.35">
      <c r="C2" s="1723" t="str">
        <f>CIJFERS!C41</f>
        <v>ICM - Buitendienst Antwerpen - Advies voor risicomanifestaties (PRIMA)</v>
      </c>
      <c r="D2" s="1723"/>
      <c r="E2" s="1723"/>
    </row>
    <row r="3" spans="1:6" x14ac:dyDescent="0.35">
      <c r="C3" s="1723" t="str">
        <f>CIJFERS!C36</f>
        <v>icm.antwerpen@health.fgov.be</v>
      </c>
      <c r="D3" s="1723"/>
      <c r="E3" s="1723"/>
    </row>
    <row r="5" spans="1:6" ht="28.5" customHeight="1" x14ac:dyDescent="0.4">
      <c r="A5" s="1680" t="s">
        <v>846</v>
      </c>
      <c r="B5" s="1680"/>
      <c r="C5" s="1680"/>
      <c r="D5" s="1680"/>
      <c r="E5" s="1680"/>
    </row>
    <row r="7" spans="1:6" x14ac:dyDescent="0.35">
      <c r="A7" s="1647" t="s">
        <v>1151</v>
      </c>
      <c r="B7" s="1647"/>
      <c r="C7" s="1647"/>
      <c r="D7" s="1647"/>
      <c r="E7" s="1647"/>
    </row>
    <row r="8" spans="1:6" ht="16" thickBot="1" x14ac:dyDescent="0.4"/>
    <row r="9" spans="1:6" ht="16" thickBot="1" x14ac:dyDescent="0.4">
      <c r="A9" s="1724" t="str">
        <f>INTERPRETATIE!D37</f>
        <v>Moeten er maatregelen genomen worden voor omwonenden</v>
      </c>
      <c r="B9" s="1725"/>
      <c r="C9" s="1726"/>
      <c r="D9" s="1726"/>
      <c r="E9" s="512" t="str">
        <f>IF(OR('LUIK 4 - RISICO''S VGZ'!$D$52=0,'LUIK3 + SCORE'!F126=0),INTERPRETATIE!$G37,"?")</f>
        <v>?</v>
      </c>
    </row>
    <row r="10" spans="1:6" ht="16" thickBot="1" x14ac:dyDescent="0.4">
      <c r="F10" s="381" t="s">
        <v>941</v>
      </c>
    </row>
    <row r="11" spans="1:6" ht="50.25" customHeight="1" x14ac:dyDescent="0.35">
      <c r="A11" s="1727" t="s">
        <v>1474</v>
      </c>
      <c r="B11" s="1728"/>
      <c r="C11" s="1667" t="s">
        <v>538</v>
      </c>
      <c r="D11" s="1668"/>
      <c r="E11" s="359"/>
      <c r="F11" s="510" t="str">
        <f>IF(OR('LUIK 4 - RISICO''S VGZ'!$D$52=0,'LUIK3 + SCORE'!F126=0),RESULTATEN!$H43,"?")</f>
        <v>?</v>
      </c>
    </row>
    <row r="12" spans="1:6" ht="52.5" customHeight="1" x14ac:dyDescent="0.35">
      <c r="A12" s="1660" t="s">
        <v>1475</v>
      </c>
      <c r="B12" s="1661"/>
      <c r="C12" s="1662" t="s">
        <v>1840</v>
      </c>
      <c r="D12" s="1663"/>
      <c r="E12" s="359"/>
      <c r="F12" s="511" t="str">
        <f>IF(OR('LUIK 4 - RISICO''S VGZ'!$D$52=0,'LUIK3 + SCORE'!F126=0),RESULTATEN!$H44,"?")</f>
        <v>?</v>
      </c>
    </row>
    <row r="13" spans="1:6" ht="20.25" customHeight="1" x14ac:dyDescent="0.35">
      <c r="A13" s="1729" t="s">
        <v>36</v>
      </c>
      <c r="B13" s="1730"/>
      <c r="C13" s="1693" t="s">
        <v>1841</v>
      </c>
      <c r="D13" s="1694"/>
      <c r="E13" s="359"/>
      <c r="F13" s="511" t="str">
        <f>IF(OR('LUIK 4 - RISICO''S VGZ'!$D$52=0,'LUIK3 + SCORE'!F126=0),RESULTATEN!$H45,"?")</f>
        <v>?</v>
      </c>
    </row>
    <row r="14" spans="1:6" ht="21" customHeight="1" x14ac:dyDescent="0.35">
      <c r="A14" s="1731"/>
      <c r="B14" s="1732"/>
      <c r="C14" s="1695" t="s">
        <v>153</v>
      </c>
      <c r="D14" s="1696"/>
      <c r="E14" s="359"/>
      <c r="F14" s="511" t="str">
        <f>IF(OR('LUIK 4 - RISICO''S VGZ'!$D$52=0,'LUIK3 + SCORE'!F126=0),RESULTATEN!$H46,"?")</f>
        <v>?</v>
      </c>
    </row>
    <row r="15" spans="1:6" ht="35.25" customHeight="1" x14ac:dyDescent="0.35">
      <c r="A15" s="1729" t="s">
        <v>37</v>
      </c>
      <c r="B15" s="1730"/>
      <c r="C15" s="1693" t="s">
        <v>1302</v>
      </c>
      <c r="D15" s="1694"/>
      <c r="E15" s="359"/>
      <c r="F15" s="511" t="str">
        <f>IF(OR('LUIK 4 - RISICO''S VGZ'!$D$52=0,'LUIK3 + SCORE'!F126=0),RESULTATEN!$H47,"?")</f>
        <v>?</v>
      </c>
    </row>
    <row r="16" spans="1:6" ht="18" customHeight="1" x14ac:dyDescent="0.35">
      <c r="A16" s="1731"/>
      <c r="B16" s="1732"/>
      <c r="C16" s="1695" t="s">
        <v>1103</v>
      </c>
      <c r="D16" s="1696"/>
      <c r="E16" s="359"/>
      <c r="F16" s="511" t="str">
        <f>IF(OR('LUIK 4 - RISICO''S VGZ'!$D$52=0,'LUIK3 + SCORE'!F126=0),RESULTATEN!$H48,"?")</f>
        <v>?</v>
      </c>
    </row>
    <row r="17" spans="1:6" ht="34.5" customHeight="1" x14ac:dyDescent="0.35">
      <c r="A17" s="1660" t="s">
        <v>155</v>
      </c>
      <c r="B17" s="1661"/>
      <c r="C17" s="1662" t="s">
        <v>1523</v>
      </c>
      <c r="D17" s="1663"/>
      <c r="E17" s="359"/>
      <c r="F17" s="511" t="str">
        <f>IF(OR('LUIK 4 - RISICO''S VGZ'!$D$52=0,'LUIK3 + SCORE'!F126=0),RESULTATEN!$H49,"?")</f>
        <v>?</v>
      </c>
    </row>
    <row r="18" spans="1:6" ht="15" customHeight="1" x14ac:dyDescent="0.35">
      <c r="A18" s="1660" t="s">
        <v>39</v>
      </c>
      <c r="B18" s="1661"/>
      <c r="C18" s="1662" t="s">
        <v>1104</v>
      </c>
      <c r="D18" s="1663"/>
      <c r="E18" s="359"/>
      <c r="F18" s="511" t="str">
        <f>IF(OR('LUIK 4 - RISICO''S VGZ'!$D$52=0,'LUIK3 + SCORE'!F126=0),RESULTATEN!$H50,"?")</f>
        <v>?</v>
      </c>
    </row>
    <row r="19" spans="1:6" x14ac:dyDescent="0.35">
      <c r="A19" s="1660" t="s">
        <v>40</v>
      </c>
      <c r="B19" s="1661"/>
      <c r="C19" s="1662" t="s">
        <v>157</v>
      </c>
      <c r="D19" s="1663"/>
      <c r="E19" s="359"/>
      <c r="F19" s="511" t="str">
        <f>IF(OR('LUIK 4 - RISICO''S VGZ'!$D$52=0,'LUIK3 + SCORE'!F126=0),RESULTATEN!$H51,"?")</f>
        <v>?</v>
      </c>
    </row>
    <row r="20" spans="1:6" ht="16" thickBot="1" x14ac:dyDescent="0.4">
      <c r="A20" s="1690" t="s">
        <v>2202</v>
      </c>
      <c r="B20" s="1691"/>
      <c r="C20" s="1691"/>
      <c r="D20" s="1692"/>
      <c r="F20" s="362" t="str">
        <f>IF(OR(F11=1,F12=1,F13=1,F14=1,F15=1,F16=1,F17=1,F18=1,F19=1),0,"?")</f>
        <v>?</v>
      </c>
    </row>
    <row r="21" spans="1:6" x14ac:dyDescent="0.35">
      <c r="F21" s="326">
        <v>1</v>
      </c>
    </row>
    <row r="22" spans="1:6" x14ac:dyDescent="0.35">
      <c r="A22" s="1647" t="s">
        <v>1152</v>
      </c>
      <c r="B22" s="1647"/>
      <c r="C22" s="1647"/>
      <c r="D22" s="1647"/>
      <c r="E22" s="1647"/>
      <c r="F22" s="326">
        <v>1</v>
      </c>
    </row>
    <row r="23" spans="1:6" ht="16" thickBot="1" x14ac:dyDescent="0.4">
      <c r="F23" s="326">
        <v>1</v>
      </c>
    </row>
    <row r="24" spans="1:6" ht="16" thickBot="1" x14ac:dyDescent="0.4">
      <c r="A24" s="1724" t="str">
        <f>INTERPRETATIE!D74</f>
        <v>Is een multidisciplinaire bijsturing noodzakelijk</v>
      </c>
      <c r="B24" s="1725">
        <f>INTERPRETATIE!E74</f>
        <v>0</v>
      </c>
      <c r="C24" s="1726"/>
      <c r="D24" s="1726">
        <f>INTERPRETATIE!F74</f>
        <v>0</v>
      </c>
      <c r="E24" s="512" t="str">
        <f>IF(OR('LUIK 4 - RISICO''S VGZ'!$D$52=0,'LUIK3 + SCORE'!F126=0),INTERPRETATIE!G74,"?")</f>
        <v>?</v>
      </c>
      <c r="F24" s="326">
        <v>1</v>
      </c>
    </row>
    <row r="25" spans="1:6" ht="16" thickBot="1" x14ac:dyDescent="0.4">
      <c r="F25" s="326">
        <v>1</v>
      </c>
    </row>
    <row r="26" spans="1:6" ht="66.75" customHeight="1" x14ac:dyDescent="0.35">
      <c r="A26" s="1727" t="s">
        <v>1278</v>
      </c>
      <c r="B26" s="1728"/>
      <c r="C26" s="1667" t="s">
        <v>1105</v>
      </c>
      <c r="D26" s="1668"/>
      <c r="E26" s="359"/>
      <c r="F26" s="379" t="str">
        <f>IF('LUIK3 + SCORE'!I66=0,"?","1")</f>
        <v>?</v>
      </c>
    </row>
    <row r="27" spans="1:6" ht="34.5" customHeight="1" x14ac:dyDescent="0.35">
      <c r="A27" s="1660" t="s">
        <v>1549</v>
      </c>
      <c r="B27" s="1661"/>
      <c r="C27" s="1662" t="s">
        <v>1476</v>
      </c>
      <c r="D27" s="1663"/>
      <c r="E27" s="359"/>
      <c r="F27" s="511" t="str">
        <f>IF(OR('LUIK 4 - RISICO''S VGZ'!$D$52=0,'LUIK3 + SCORE'!F126=0),'LUIK3 + SCORE'!I67,"?")</f>
        <v>?</v>
      </c>
    </row>
    <row r="28" spans="1:6" ht="15" customHeight="1" x14ac:dyDescent="0.35">
      <c r="A28" s="1660" t="s">
        <v>1552</v>
      </c>
      <c r="B28" s="1661"/>
      <c r="C28" s="1662" t="s">
        <v>1477</v>
      </c>
      <c r="D28" s="1663"/>
      <c r="E28" s="359"/>
      <c r="F28" s="511" t="str">
        <f>IF(OR('LUIK 4 - RISICO''S VGZ'!$D$52=0,'LUIK3 + SCORE'!F126=0),'LUIK3 + SCORE'!I68,"?")</f>
        <v>?</v>
      </c>
    </row>
    <row r="29" spans="1:6" ht="36" customHeight="1" x14ac:dyDescent="0.35">
      <c r="A29" s="1660" t="s">
        <v>1553</v>
      </c>
      <c r="B29" s="1661"/>
      <c r="C29" s="1662" t="s">
        <v>1375</v>
      </c>
      <c r="D29" s="1663"/>
      <c r="E29" s="359"/>
      <c r="F29" s="511" t="str">
        <f>IF(OR('LUIK 4 - RISICO''S VGZ'!$D$52=0,'LUIK3 + SCORE'!F$126=0),'LUIK3 + SCORE'!I69,"?")</f>
        <v>?</v>
      </c>
    </row>
    <row r="30" spans="1:6" ht="36" customHeight="1" x14ac:dyDescent="0.35">
      <c r="A30" s="1657" t="s">
        <v>1908</v>
      </c>
      <c r="B30" s="1661"/>
      <c r="C30" s="1662" t="s">
        <v>1670</v>
      </c>
      <c r="D30" s="1663"/>
      <c r="E30" s="359"/>
      <c r="F30" s="835">
        <f>IF('LUIK3 + SCORE'!I46=1,1,0)</f>
        <v>0</v>
      </c>
    </row>
    <row r="31" spans="1:6" ht="54.75" customHeight="1" x14ac:dyDescent="0.35">
      <c r="A31" s="1657" t="s">
        <v>2283</v>
      </c>
      <c r="B31" s="1661"/>
      <c r="C31" s="1662" t="s">
        <v>1673</v>
      </c>
      <c r="D31" s="1663"/>
      <c r="E31" s="359"/>
      <c r="F31" s="835">
        <f>IF('LUIK3 + SCORE'!E42="&lt; 10 jaar met begeleiding van de ouders",1,IF('LUIK3 + SCORE'!E42="alle leeftijden",1,0))</f>
        <v>0</v>
      </c>
    </row>
    <row r="32" spans="1:6" ht="36" customHeight="1" x14ac:dyDescent="0.35">
      <c r="A32" s="1657" t="s">
        <v>1179</v>
      </c>
      <c r="B32" s="1661"/>
      <c r="C32" s="1662" t="s">
        <v>1671</v>
      </c>
      <c r="D32" s="1663"/>
      <c r="E32" s="359"/>
      <c r="F32" s="835">
        <f>IF('LUIK3 + SCORE'!E42="&lt; 10 jaar zonder begeleiding van de ouders",1,0)</f>
        <v>0</v>
      </c>
    </row>
    <row r="33" spans="1:6" ht="24.75" customHeight="1" x14ac:dyDescent="0.35">
      <c r="A33" s="1657" t="s">
        <v>2284</v>
      </c>
      <c r="B33" s="1661"/>
      <c r="C33" s="1662" t="s">
        <v>1672</v>
      </c>
      <c r="D33" s="1663"/>
      <c r="E33" s="359"/>
      <c r="F33" s="835">
        <f>IF('LUIK3 + SCORE'!E44="Overvloedig gebruik",1,0)</f>
        <v>0</v>
      </c>
    </row>
    <row r="34" spans="1:6" x14ac:dyDescent="0.35">
      <c r="A34" s="1658" t="s">
        <v>1376</v>
      </c>
      <c r="B34" s="1659"/>
      <c r="C34" s="839" t="s">
        <v>1378</v>
      </c>
      <c r="D34" s="840"/>
      <c r="E34" s="359"/>
      <c r="F34" s="511" t="str">
        <f>IF(OR('LUIK 4 - RISICO''S VGZ'!$D$52=0,'LUIK3 + SCORE'!F$126=0),'LUIK3 + SCORE'!I70,"?")</f>
        <v>?</v>
      </c>
    </row>
    <row r="35" spans="1:6" x14ac:dyDescent="0.35">
      <c r="A35" s="1658" t="s">
        <v>1377</v>
      </c>
      <c r="B35" s="1659"/>
      <c r="C35" s="1662" t="s">
        <v>1379</v>
      </c>
      <c r="D35" s="1663"/>
      <c r="E35" s="359"/>
      <c r="F35" s="511" t="str">
        <f>IF(OR('LUIK 4 - RISICO''S VGZ'!$D$52=0,'LUIK3 + SCORE'!F$126=0),'LUIK3 + SCORE'!I71,"?")</f>
        <v>?</v>
      </c>
    </row>
    <row r="36" spans="1:6" ht="65.25" customHeight="1" x14ac:dyDescent="0.35">
      <c r="A36" s="1658" t="s">
        <v>325</v>
      </c>
      <c r="B36" s="1659"/>
      <c r="C36" s="1662" t="s">
        <v>1478</v>
      </c>
      <c r="D36" s="1663"/>
      <c r="E36" s="359"/>
      <c r="F36" s="511" t="str">
        <f>IF(OR('LUIK 4 - RISICO''S VGZ'!$D$52=0,'LUIK3 + SCORE'!F$126=0),'LUIK3 + SCORE'!I72,"?")</f>
        <v>?</v>
      </c>
    </row>
    <row r="37" spans="1:6" ht="34.5" customHeight="1" x14ac:dyDescent="0.35">
      <c r="A37" s="1658" t="s">
        <v>1852</v>
      </c>
      <c r="B37" s="1659"/>
      <c r="C37" s="1662" t="s">
        <v>1480</v>
      </c>
      <c r="D37" s="1663"/>
      <c r="E37" s="359"/>
      <c r="F37" s="511" t="str">
        <f>IF(OR('LUIK 4 - RISICO''S VGZ'!$D$52=0,'LUIK3 + SCORE'!F$126=0),'LUIK3 + SCORE'!I73,"?")</f>
        <v>?</v>
      </c>
    </row>
    <row r="38" spans="1:6" x14ac:dyDescent="0.35">
      <c r="A38" s="1658" t="s">
        <v>326</v>
      </c>
      <c r="B38" s="1659"/>
      <c r="C38" s="1662" t="s">
        <v>1925</v>
      </c>
      <c r="D38" s="1663"/>
      <c r="E38" s="359"/>
      <c r="F38" s="511" t="str">
        <f>IF(OR('LUIK 4 - RISICO''S VGZ'!$D$52=0,'LUIK3 + SCORE'!F$126=0),'LUIK3 + SCORE'!I74,"?")</f>
        <v>?</v>
      </c>
    </row>
    <row r="39" spans="1:6" ht="15" customHeight="1" x14ac:dyDescent="0.35">
      <c r="A39" s="1660" t="s">
        <v>1557</v>
      </c>
      <c r="B39" s="1661"/>
      <c r="C39" s="1662" t="s">
        <v>1926</v>
      </c>
      <c r="D39" s="1663"/>
      <c r="E39" s="359"/>
      <c r="F39" s="511" t="str">
        <f>IF(OR('LUIK 4 - RISICO''S VGZ'!$D$52=0,'LUIK3 + SCORE'!F126=0),'LUIK3 + SCORE'!I75,"?")</f>
        <v>?</v>
      </c>
    </row>
    <row r="40" spans="1:6" ht="15" customHeight="1" x14ac:dyDescent="0.35">
      <c r="A40" s="1660" t="s">
        <v>1558</v>
      </c>
      <c r="B40" s="1661"/>
      <c r="C40" s="1662" t="s">
        <v>1927</v>
      </c>
      <c r="D40" s="1663"/>
      <c r="E40" s="359"/>
      <c r="F40" s="511" t="str">
        <f>IF(OR('LUIK 4 - RISICO''S VGZ'!$D$52=0,'LUIK3 + SCORE'!F126=0),'LUIK3 + SCORE'!I76,"?")</f>
        <v>?</v>
      </c>
    </row>
    <row r="41" spans="1:6" ht="30.75" customHeight="1" x14ac:dyDescent="0.35">
      <c r="A41" s="1660" t="s">
        <v>1559</v>
      </c>
      <c r="B41" s="1661"/>
      <c r="C41" s="1662" t="s">
        <v>469</v>
      </c>
      <c r="D41" s="1663"/>
      <c r="E41" s="359"/>
      <c r="F41" s="511" t="str">
        <f>IF(OR('LUIK 4 - RISICO''S VGZ'!$D$52=0,'LUIK3 + SCORE'!F126=0),'LUIK3 + SCORE'!I77,"?")</f>
        <v>?</v>
      </c>
    </row>
    <row r="42" spans="1:6" ht="48.75" customHeight="1" x14ac:dyDescent="0.35">
      <c r="A42" s="1633" t="s">
        <v>938</v>
      </c>
      <c r="B42" s="1633"/>
      <c r="C42" s="1634" t="s">
        <v>1309</v>
      </c>
      <c r="D42" s="1634"/>
      <c r="E42" s="359"/>
      <c r="F42" s="511" t="str">
        <f>IF(OR('LUIK 4 - RISICO''S VGZ'!$D$52=0,'LUIK3 + SCORE'!F126=0),'LUIK3 + SCORE'!I60,"?")</f>
        <v>?</v>
      </c>
    </row>
    <row r="43" spans="1:6" ht="30.75" customHeight="1" x14ac:dyDescent="0.35">
      <c r="A43" s="1660" t="s">
        <v>1853</v>
      </c>
      <c r="B43" s="1661"/>
      <c r="C43" s="1662" t="s">
        <v>2289</v>
      </c>
      <c r="D43" s="1663"/>
      <c r="E43" s="359"/>
      <c r="F43" s="511" t="str">
        <f>IF(OR('LUIK 4 - RISICO''S VGZ'!$D$52=0,'LUIK3 + SCORE'!F126=0),'LUIK3 + SCORE'!I78,"?")</f>
        <v>?</v>
      </c>
    </row>
    <row r="44" spans="1:6" ht="36" customHeight="1" x14ac:dyDescent="0.35">
      <c r="A44" s="1660" t="s">
        <v>1562</v>
      </c>
      <c r="B44" s="1661"/>
      <c r="C44" s="1662" t="s">
        <v>2233</v>
      </c>
      <c r="D44" s="1663"/>
      <c r="E44" s="359"/>
      <c r="F44" s="511" t="str">
        <f>IF(OR('LUIK 4 - RISICO''S VGZ'!$D$52=0,'LUIK3 + SCORE'!F126=0),'LUIK3 + SCORE'!I79,"?")</f>
        <v>?</v>
      </c>
    </row>
    <row r="45" spans="1:6" ht="16" thickBot="1" x14ac:dyDescent="0.4">
      <c r="A45" s="1690" t="s">
        <v>2202</v>
      </c>
      <c r="B45" s="1691"/>
      <c r="C45" s="1691"/>
      <c r="D45" s="1692"/>
      <c r="F45" s="380" t="str">
        <f>IF(OR(F26=1,F27=1,F28=1,F29=1,F30=1,F34=1,F35=1,F36=1,F37=1,F38=1,F39=1,F40=1,F41=1,F42=1,F43=1,F44=1),0,"?")</f>
        <v>?</v>
      </c>
    </row>
    <row r="46" spans="1:6" x14ac:dyDescent="0.35">
      <c r="A46" s="352"/>
      <c r="B46" s="352"/>
      <c r="C46" s="352"/>
      <c r="D46" s="352"/>
      <c r="F46" s="1107">
        <f>F47</f>
        <v>1</v>
      </c>
    </row>
    <row r="47" spans="1:6" x14ac:dyDescent="0.35">
      <c r="A47" s="1647" t="s">
        <v>212</v>
      </c>
      <c r="B47" s="1647"/>
      <c r="C47" s="1647"/>
      <c r="D47" s="1647"/>
      <c r="E47" s="1033"/>
      <c r="F47" s="1039">
        <f>IF(AND(F49=0,F50=0,F51=0,F52=0,F53=0,F54=0,F55=0,F57=0),0,1)</f>
        <v>1</v>
      </c>
    </row>
    <row r="48" spans="1:6" ht="16" thickBot="1" x14ac:dyDescent="0.4">
      <c r="A48" s="1026"/>
      <c r="B48" s="1026"/>
      <c r="C48" s="1026"/>
      <c r="D48" s="1026"/>
      <c r="E48" s="1033"/>
      <c r="F48" s="1039">
        <f>F47</f>
        <v>1</v>
      </c>
    </row>
    <row r="49" spans="1:6" ht="36.75" customHeight="1" x14ac:dyDescent="0.35">
      <c r="A49" s="1688" t="s">
        <v>1605</v>
      </c>
      <c r="B49" s="1689"/>
      <c r="C49" s="1733" t="s">
        <v>294</v>
      </c>
      <c r="D49" s="1734"/>
      <c r="F49" s="1040">
        <f>'LUIK3 + SCORE'!I81</f>
        <v>0</v>
      </c>
    </row>
    <row r="50" spans="1:6" ht="45" customHeight="1" x14ac:dyDescent="0.35">
      <c r="A50" s="1677" t="s">
        <v>1606</v>
      </c>
      <c r="B50" s="1678"/>
      <c r="C50" s="1679" t="str">
        <f>'LUIK3 + SCORE'!$J$82</f>
        <v>Maak uw keuze</v>
      </c>
      <c r="D50" s="1666"/>
      <c r="F50" s="1040">
        <f>'LUIK3 + SCORE'!I82</f>
        <v>0</v>
      </c>
    </row>
    <row r="51" spans="1:6" ht="27" customHeight="1" x14ac:dyDescent="0.35">
      <c r="A51" s="1675" t="s">
        <v>1811</v>
      </c>
      <c r="B51" s="1676"/>
      <c r="C51" s="1671" t="str">
        <f>'LUIK3 + SCORE'!E83</f>
        <v>Maak uw keuze</v>
      </c>
      <c r="D51" s="1666"/>
      <c r="F51" s="1040">
        <f>'LUIK3 + SCORE'!I83</f>
        <v>0</v>
      </c>
    </row>
    <row r="52" spans="1:6" ht="89.25" customHeight="1" x14ac:dyDescent="0.35">
      <c r="A52" s="1677" t="s">
        <v>1812</v>
      </c>
      <c r="B52" s="1678"/>
      <c r="C52" s="1673" t="s">
        <v>406</v>
      </c>
      <c r="D52" s="1674"/>
      <c r="F52" s="1040">
        <f>'LUIK3 + SCORE'!I84</f>
        <v>0</v>
      </c>
    </row>
    <row r="53" spans="1:6" ht="21" customHeight="1" x14ac:dyDescent="0.35">
      <c r="A53" s="1677" t="s">
        <v>1607</v>
      </c>
      <c r="B53" s="1678"/>
      <c r="C53" s="1673" t="s">
        <v>213</v>
      </c>
      <c r="D53" s="1674"/>
      <c r="F53" s="1040">
        <f>'LUIK3 + SCORE'!I85</f>
        <v>0</v>
      </c>
    </row>
    <row r="54" spans="1:6" ht="72" customHeight="1" x14ac:dyDescent="0.35">
      <c r="A54" s="1677" t="s">
        <v>1813</v>
      </c>
      <c r="B54" s="1678"/>
      <c r="C54" s="1673" t="s">
        <v>407</v>
      </c>
      <c r="D54" s="1674"/>
      <c r="F54" s="1040">
        <f>'LUIK3 + SCORE'!I86</f>
        <v>1</v>
      </c>
    </row>
    <row r="55" spans="1:6" x14ac:dyDescent="0.35">
      <c r="A55" s="1677" t="s">
        <v>1814</v>
      </c>
      <c r="B55" s="1678"/>
      <c r="C55" s="1673" t="str">
        <f>'LUIK3 + SCORE'!E85</f>
        <v>Maak uw keuze</v>
      </c>
      <c r="D55" s="1674"/>
      <c r="F55" s="1040">
        <v>1</v>
      </c>
    </row>
    <row r="56" spans="1:6" ht="51" customHeight="1" x14ac:dyDescent="0.35">
      <c r="A56" s="1675" t="s">
        <v>1816</v>
      </c>
      <c r="B56" s="1676"/>
      <c r="C56" s="1673" t="s">
        <v>1718</v>
      </c>
      <c r="D56" s="1674"/>
      <c r="F56" s="1040">
        <v>1</v>
      </c>
    </row>
    <row r="57" spans="1:6" ht="54" customHeight="1" thickBot="1" x14ac:dyDescent="0.4">
      <c r="A57" s="1697" t="s">
        <v>1815</v>
      </c>
      <c r="B57" s="1698"/>
      <c r="C57" s="1699" t="s">
        <v>408</v>
      </c>
      <c r="D57" s="1700"/>
      <c r="F57" s="1040">
        <f>'LUIK3 + SCORE'!I89</f>
        <v>0</v>
      </c>
    </row>
    <row r="58" spans="1:6" x14ac:dyDescent="0.35">
      <c r="F58" s="326">
        <v>1</v>
      </c>
    </row>
    <row r="59" spans="1:6" x14ac:dyDescent="0.35">
      <c r="A59" s="1647" t="s">
        <v>1153</v>
      </c>
      <c r="B59" s="1647"/>
      <c r="C59" s="1647"/>
      <c r="D59" s="1647"/>
      <c r="E59" s="1647"/>
      <c r="F59" s="326">
        <v>1</v>
      </c>
    </row>
    <row r="60" spans="1:6" ht="16" thickBot="1" x14ac:dyDescent="0.4">
      <c r="F60" s="326">
        <v>1</v>
      </c>
    </row>
    <row r="61" spans="1:6" ht="16" thickBot="1" x14ac:dyDescent="0.4">
      <c r="A61" s="1685" t="str">
        <f>INTERPRETATIE!D79</f>
        <v>Zijn er nog maatregelen nodig op vlak van disaster-preparedness</v>
      </c>
      <c r="B61" s="1686">
        <f>INTERPRETATIE!E79</f>
        <v>0</v>
      </c>
      <c r="C61" s="1687"/>
      <c r="D61" s="1687">
        <f>INTERPRETATIE!F79</f>
        <v>0</v>
      </c>
      <c r="E61" s="512" t="str">
        <f>IF(OR('LUIK 4 - RISICO''S VGZ'!$D$52=0,'LUIK3 + SCORE'!F126=0),INTERPRETATIE!G79,"?")</f>
        <v>?</v>
      </c>
      <c r="F61" s="326">
        <v>1</v>
      </c>
    </row>
    <row r="62" spans="1:6" ht="16" thickBot="1" x14ac:dyDescent="0.4">
      <c r="F62" s="326">
        <v>1</v>
      </c>
    </row>
    <row r="63" spans="1:6" ht="16" thickBot="1" x14ac:dyDescent="0.4">
      <c r="A63" s="1681" t="s">
        <v>1692</v>
      </c>
      <c r="B63" s="1682"/>
      <c r="C63" s="1683"/>
      <c r="D63" s="1684"/>
      <c r="F63" s="362" t="str">
        <f>IF(OR(F64=1,F65=1,F66=1,F67=1,F68=1,F69=1),0,"?")</f>
        <v>?</v>
      </c>
    </row>
    <row r="64" spans="1:6" x14ac:dyDescent="0.35">
      <c r="A64" s="1669" t="s">
        <v>1564</v>
      </c>
      <c r="B64" s="1670"/>
      <c r="C64" s="1671"/>
      <c r="D64" s="1672"/>
      <c r="F64" s="510" t="str">
        <f>IF(OR('LUIK 4 - RISICO''S VGZ'!$D$52=0,'LUIK3 + SCORE'!F126=0),'LUIK3 + SCORE'!I94,"?")</f>
        <v>?</v>
      </c>
    </row>
    <row r="65" spans="1:6" x14ac:dyDescent="0.35">
      <c r="A65" s="1669" t="s">
        <v>1565</v>
      </c>
      <c r="B65" s="1670"/>
      <c r="C65" s="1671"/>
      <c r="D65" s="1672"/>
      <c r="F65" s="511" t="str">
        <f>IF(OR('LUIK 4 - RISICO''S VGZ'!$D$52=0,'LUIK3 + SCORE'!F126=0),'LUIK3 + SCORE'!I95,"?")</f>
        <v>?</v>
      </c>
    </row>
    <row r="66" spans="1:6" ht="15" customHeight="1" x14ac:dyDescent="0.35">
      <c r="A66" s="1669" t="s">
        <v>1569</v>
      </c>
      <c r="B66" s="1670"/>
      <c r="C66" s="1671"/>
      <c r="D66" s="1672"/>
      <c r="F66" s="511" t="str">
        <f>IF(OR('LUIK 4 - RISICO''S VGZ'!$D$52=0,'LUIK3 + SCORE'!F126=0),'LUIK3 + SCORE'!I96,"?")</f>
        <v>?</v>
      </c>
    </row>
    <row r="67" spans="1:6" ht="15" customHeight="1" x14ac:dyDescent="0.35">
      <c r="A67" s="1664" t="s">
        <v>138</v>
      </c>
      <c r="B67" s="1665"/>
      <c r="C67" s="1665"/>
      <c r="D67" s="1666"/>
      <c r="F67" s="511" t="str">
        <f>IF(OR('LUIK 4 - RISICO''S VGZ'!$D$52=0,'LUIK3 + SCORE'!F126=0),'LUIK3 + SCORE'!I97,"?")</f>
        <v>?</v>
      </c>
    </row>
    <row r="68" spans="1:6" ht="15" customHeight="1" x14ac:dyDescent="0.35">
      <c r="A68" s="1669" t="s">
        <v>1570</v>
      </c>
      <c r="B68" s="1670"/>
      <c r="C68" s="1671"/>
      <c r="D68" s="1672"/>
      <c r="F68" s="511" t="str">
        <f>IF(OR('LUIK 4 - RISICO''S VGZ'!$D$52=0,'LUIK3 + SCORE'!F126=0),'LUIK3 + SCORE'!I98,"?")</f>
        <v>?</v>
      </c>
    </row>
    <row r="69" spans="1:6" x14ac:dyDescent="0.35">
      <c r="A69" s="1669" t="s">
        <v>1571</v>
      </c>
      <c r="B69" s="1670"/>
      <c r="C69" s="1671"/>
      <c r="D69" s="1672"/>
      <c r="F69" s="511" t="str">
        <f>IF(OR('LUIK 4 - RISICO''S VGZ'!$D$52=0,'LUIK3 + SCORE'!F126=0),'LUIK3 + SCORE'!I99,"?")</f>
        <v>?</v>
      </c>
    </row>
    <row r="70" spans="1:6" ht="16" thickBot="1" x14ac:dyDescent="0.4">
      <c r="A70" s="1705" t="s">
        <v>2202</v>
      </c>
      <c r="B70" s="1706"/>
      <c r="C70" s="1707"/>
      <c r="D70" s="1708"/>
      <c r="F70" s="362" t="str">
        <f>IF(OR(F64=1,F65=1,F66=1,F67=1,F68=1,F69=1),0,"?")</f>
        <v>?</v>
      </c>
    </row>
    <row r="71" spans="1:6" x14ac:dyDescent="0.35">
      <c r="F71" s="326">
        <v>1</v>
      </c>
    </row>
    <row r="72" spans="1:6" x14ac:dyDescent="0.35">
      <c r="A72" s="1647" t="s">
        <v>1154</v>
      </c>
      <c r="B72" s="1647"/>
      <c r="C72" s="1647"/>
      <c r="D72" s="1647"/>
      <c r="E72" s="1647"/>
      <c r="F72" s="326">
        <v>1</v>
      </c>
    </row>
    <row r="73" spans="1:6" ht="16" thickBot="1" x14ac:dyDescent="0.4">
      <c r="F73" s="326">
        <v>1</v>
      </c>
    </row>
    <row r="74" spans="1:6" x14ac:dyDescent="0.35">
      <c r="A74" s="1716" t="str">
        <f>INTERPRETATIE!D85</f>
        <v>Is er nood aan andere maatregelen op of nabij de manifestatie</v>
      </c>
      <c r="B74" s="1717">
        <f>INTERPRETATIE!E85</f>
        <v>0</v>
      </c>
      <c r="C74" s="1717"/>
      <c r="D74" s="1717">
        <f>INTERPRETATIE!F85</f>
        <v>0</v>
      </c>
      <c r="E74" s="685" t="str">
        <f>IF(OR('LUIK 4 - RISICO''S VGZ'!$D$52=0,'LUIK3 + SCORE'!F126=0),INTERPRETATIE!G85,"?")</f>
        <v>?</v>
      </c>
      <c r="F74" s="326">
        <v>1</v>
      </c>
    </row>
    <row r="75" spans="1:6" ht="16" thickBot="1" x14ac:dyDescent="0.4">
      <c r="A75" s="1718" t="str">
        <f>INTERPRETATIE!D86</f>
        <v>Is er nood aan andere maatregelen op of nabij de camping</v>
      </c>
      <c r="B75" s="1719">
        <f>INTERPRETATIE!E86</f>
        <v>0</v>
      </c>
      <c r="C75" s="1719"/>
      <c r="D75" s="1719">
        <f>INTERPRETATIE!F86</f>
        <v>0</v>
      </c>
      <c r="E75" s="686" t="str">
        <f>IF(OR('LUIK 4 - RISICO''S VGZ'!$D$52=0,'LUIK3 + SCORE'!F126=0),INTERPRETATIE!G86,"?")</f>
        <v>?</v>
      </c>
      <c r="F75" s="326">
        <v>1</v>
      </c>
    </row>
    <row r="76" spans="1:6" ht="16" thickBot="1" x14ac:dyDescent="0.4">
      <c r="F76" s="326">
        <v>1</v>
      </c>
    </row>
    <row r="77" spans="1:6" ht="51" customHeight="1" x14ac:dyDescent="0.35">
      <c r="A77" s="1709" t="s">
        <v>210</v>
      </c>
      <c r="B77" s="1710"/>
      <c r="C77" s="1639" t="s">
        <v>0</v>
      </c>
      <c r="D77" s="1640"/>
      <c r="F77" s="510" t="str">
        <f>IF(OR('LUIK 4 - RISICO''S VGZ'!$D$52=0,'LUIK3 + SCORE'!F126=0),RESULTATEN!$H82,"?")</f>
        <v>?</v>
      </c>
    </row>
    <row r="78" spans="1:6" ht="37.5" customHeight="1" x14ac:dyDescent="0.35">
      <c r="A78" s="1701"/>
      <c r="B78" s="1711"/>
      <c r="C78" s="1637" t="s">
        <v>1686</v>
      </c>
      <c r="D78" s="1638"/>
      <c r="F78" s="511" t="str">
        <f>IF(OR('LUIK 4 - RISICO''S VGZ'!$D$52=0,'LUIK3 + SCORE'!F126=0),RESULTATEN!$H83,"?")</f>
        <v>?</v>
      </c>
    </row>
    <row r="79" spans="1:6" ht="49.5" customHeight="1" x14ac:dyDescent="0.35">
      <c r="A79" s="1701"/>
      <c r="B79" s="1711"/>
      <c r="C79" s="1637" t="s">
        <v>906</v>
      </c>
      <c r="D79" s="1638"/>
      <c r="F79" s="511" t="str">
        <f>IF(OR('LUIK 4 - RISICO''S VGZ'!$D$52=0,'LUIK3 + SCORE'!F126=0),RESULTATEN!$H84,"?")</f>
        <v>?</v>
      </c>
    </row>
    <row r="80" spans="1:6" ht="33" customHeight="1" x14ac:dyDescent="0.35">
      <c r="A80" s="1701"/>
      <c r="B80" s="1711"/>
      <c r="C80" s="1637" t="s">
        <v>1625</v>
      </c>
      <c r="D80" s="1638"/>
      <c r="F80" s="511" t="str">
        <f>IF(OR('LUIK 4 - RISICO''S VGZ'!$D$52=0,'LUIK3 + SCORE'!F126=0),RESULTATEN!$H85,"?")</f>
        <v>?</v>
      </c>
    </row>
    <row r="81" spans="1:6" ht="68.25" customHeight="1" x14ac:dyDescent="0.35">
      <c r="A81" s="1701"/>
      <c r="B81" s="1711"/>
      <c r="C81" s="1637" t="s">
        <v>995</v>
      </c>
      <c r="D81" s="1638"/>
      <c r="F81" s="511" t="str">
        <f>IF(OR('LUIK 4 - RISICO''S VGZ'!$D$52=0,'LUIK3 + SCORE'!F126=0),RESULTATEN!$H86,"?")</f>
        <v>?</v>
      </c>
    </row>
    <row r="82" spans="1:6" ht="54.75" customHeight="1" x14ac:dyDescent="0.35">
      <c r="A82" s="1701"/>
      <c r="B82" s="1711"/>
      <c r="C82" s="1637" t="s">
        <v>1371</v>
      </c>
      <c r="D82" s="1638"/>
      <c r="F82" s="511" t="str">
        <f>IF(OR('LUIK 4 - RISICO''S VGZ'!$D$52=0,'LUIK3 + SCORE'!F126=0),RESULTATEN!$H87,"?")</f>
        <v>?</v>
      </c>
    </row>
    <row r="83" spans="1:6" ht="21.75" customHeight="1" x14ac:dyDescent="0.35">
      <c r="A83" s="1701"/>
      <c r="B83" s="1711"/>
      <c r="C83" s="1637" t="s">
        <v>1713</v>
      </c>
      <c r="D83" s="1638"/>
      <c r="F83" s="511" t="str">
        <f>IF(OR('LUIK 4 - RISICO''S VGZ'!$D$52=0,'LUIK3 + SCORE'!F126=0),RESULTATEN!$H88,"?")</f>
        <v>?</v>
      </c>
    </row>
    <row r="84" spans="1:6" ht="47.25" customHeight="1" x14ac:dyDescent="0.35">
      <c r="A84" s="1701"/>
      <c r="B84" s="1711"/>
      <c r="C84" s="1637" t="s">
        <v>1373</v>
      </c>
      <c r="D84" s="1638"/>
      <c r="F84" s="511" t="str">
        <f>IF(OR('LUIK 4 - RISICO''S VGZ'!$D$52=0,'LUIK3 + SCORE'!F126=0),RESULTATEN!$H89,"?")</f>
        <v>?</v>
      </c>
    </row>
    <row r="85" spans="1:6" ht="52.5" customHeight="1" x14ac:dyDescent="0.35">
      <c r="A85" s="1701"/>
      <c r="B85" s="1711"/>
      <c r="C85" s="1637" t="s">
        <v>1374</v>
      </c>
      <c r="D85" s="1638"/>
      <c r="F85" s="511" t="str">
        <f>IF(OR('LUIK 4 - RISICO''S VGZ'!$D$52=0,'LUIK3 + SCORE'!F126=0),RESULTATEN!$H90,"?")</f>
        <v>?</v>
      </c>
    </row>
    <row r="86" spans="1:6" ht="34.5" customHeight="1" x14ac:dyDescent="0.35">
      <c r="A86" s="1701"/>
      <c r="B86" s="1711"/>
      <c r="C86" s="1637" t="s">
        <v>1089</v>
      </c>
      <c r="D86" s="1638"/>
      <c r="F86" s="511" t="str">
        <f>IF(OR('LUIK 4 - RISICO''S VGZ'!$D$52=0,'LUIK3 + SCORE'!F126=0),RESULTATEN!$H91,"?")</f>
        <v>?</v>
      </c>
    </row>
    <row r="87" spans="1:6" ht="52.5" customHeight="1" x14ac:dyDescent="0.35">
      <c r="A87" s="1701"/>
      <c r="B87" s="1711"/>
      <c r="C87" s="1637" t="s">
        <v>1715</v>
      </c>
      <c r="D87" s="1638"/>
      <c r="F87" s="511" t="str">
        <f>IF(OR('LUIK 4 - RISICO''S VGZ'!$D$52=0,'LUIK3 + SCORE'!F126=0),RESULTATEN!$H92,"?")</f>
        <v>?</v>
      </c>
    </row>
    <row r="88" spans="1:6" ht="36" customHeight="1" x14ac:dyDescent="0.35">
      <c r="A88" s="1701"/>
      <c r="B88" s="1711"/>
      <c r="C88" s="1637" t="s">
        <v>1716</v>
      </c>
      <c r="D88" s="1638"/>
      <c r="F88" s="511" t="str">
        <f>IF(OR('LUIK 4 - RISICO''S VGZ'!$D$52=0,'LUIK3 + SCORE'!F126=0),RESULTATEN!$H93,"?")</f>
        <v>?</v>
      </c>
    </row>
    <row r="89" spans="1:6" x14ac:dyDescent="0.35">
      <c r="A89" s="1701" t="s">
        <v>211</v>
      </c>
      <c r="B89" s="1711"/>
      <c r="C89" s="1637" t="s">
        <v>1768</v>
      </c>
      <c r="D89" s="1638"/>
      <c r="F89" s="511" t="str">
        <f>IF(OR('LUIK 4 - RISICO''S VGZ'!$D$52=0,'LUIK3 + SCORE'!F126=0),RESULTATEN!$H94,"?")</f>
        <v>?</v>
      </c>
    </row>
    <row r="90" spans="1:6" ht="33" customHeight="1" x14ac:dyDescent="0.35">
      <c r="A90" s="1701"/>
      <c r="B90" s="1711"/>
      <c r="C90" s="1637" t="s">
        <v>1625</v>
      </c>
      <c r="D90" s="1638"/>
      <c r="F90" s="511" t="str">
        <f>IF(OR('LUIK 4 - RISICO''S VGZ'!$D$52=0,'LUIK3 + SCORE'!F126=0),RESULTATEN!$H95,"?")</f>
        <v>?</v>
      </c>
    </row>
    <row r="91" spans="1:6" x14ac:dyDescent="0.35">
      <c r="A91" s="1701"/>
      <c r="B91" s="1711"/>
      <c r="C91" s="1637" t="s">
        <v>1091</v>
      </c>
      <c r="D91" s="1638"/>
      <c r="F91" s="511" t="str">
        <f>IF(OR('LUIK 4 - RISICO''S VGZ'!$D$52=0,'LUIK3 + SCORE'!F126=0),RESULTATEN!$H96,"?")</f>
        <v>?</v>
      </c>
    </row>
    <row r="92" spans="1:6" ht="33.75" customHeight="1" x14ac:dyDescent="0.35">
      <c r="A92" s="1701"/>
      <c r="B92" s="1711"/>
      <c r="C92" s="1637" t="s">
        <v>1595</v>
      </c>
      <c r="D92" s="1638"/>
      <c r="F92" s="511" t="str">
        <f>IF(OR('LUIK 4 - RISICO''S VGZ'!$D$52=0,'LUIK3 + SCORE'!F126=0),RESULTATEN!$H97,"?")</f>
        <v>?</v>
      </c>
    </row>
    <row r="93" spans="1:6" ht="16" thickBot="1" x14ac:dyDescent="0.4">
      <c r="A93" s="1712" t="s">
        <v>2202</v>
      </c>
      <c r="B93" s="1713"/>
      <c r="C93" s="1714"/>
      <c r="D93" s="1715"/>
      <c r="F93" s="380" t="str">
        <f>IF(OR(F77=1,F78=1,F79=1,F80=1,F81=1,F82=1,F83=1,F84=1,F85=1,F86=1,F87=1,F88=1,F89=1,F90=1,F91=1,F92=1),0,"?")</f>
        <v>?</v>
      </c>
    </row>
    <row r="94" spans="1:6" x14ac:dyDescent="0.35">
      <c r="A94" s="326"/>
      <c r="B94" s="326"/>
      <c r="C94" s="326"/>
      <c r="D94" s="326"/>
      <c r="F94" s="1107">
        <f>F95</f>
        <v>1</v>
      </c>
    </row>
    <row r="95" spans="1:6" x14ac:dyDescent="0.35">
      <c r="A95" s="1647" t="s">
        <v>2234</v>
      </c>
      <c r="B95" s="1647"/>
      <c r="C95" s="1647"/>
      <c r="F95" s="326">
        <f>(IF(AND(F97=0,F98=0,F99=0,F100=0,F101=0),0,1))</f>
        <v>1</v>
      </c>
    </row>
    <row r="96" spans="1:6" ht="16" thickBot="1" x14ac:dyDescent="0.4">
      <c r="F96" s="326">
        <f>F95</f>
        <v>1</v>
      </c>
    </row>
    <row r="97" spans="1:6" ht="38.25" customHeight="1" x14ac:dyDescent="0.35">
      <c r="A97" s="842" t="s">
        <v>2235</v>
      </c>
      <c r="B97" s="1720" t="s">
        <v>934</v>
      </c>
      <c r="C97" s="1720"/>
      <c r="D97" s="1721"/>
      <c r="F97" s="848">
        <f>IF('LUIK 1 - AANVRAAG'!G53="",1,0)</f>
        <v>1</v>
      </c>
    </row>
    <row r="98" spans="1:6" ht="33" customHeight="1" x14ac:dyDescent="0.35">
      <c r="A98" s="1643" t="s">
        <v>935</v>
      </c>
      <c r="B98" s="1631" t="s">
        <v>937</v>
      </c>
      <c r="C98" s="1631"/>
      <c r="D98" s="1632"/>
      <c r="F98" s="849">
        <f>IF('LUIK 1 - AANVRAAG'!G25="",1,0)</f>
        <v>1</v>
      </c>
    </row>
    <row r="99" spans="1:6" ht="37.5" customHeight="1" x14ac:dyDescent="0.35">
      <c r="A99" s="1643"/>
      <c r="B99" s="1631" t="s">
        <v>936</v>
      </c>
      <c r="C99" s="1631"/>
      <c r="D99" s="1632"/>
      <c r="F99" s="849">
        <f>IF(AND('LUIK 1 - AANVRAAG'!G30="",'LUIK 1 - AANVRAAG'!G31=""),1,0)</f>
        <v>1</v>
      </c>
    </row>
    <row r="100" spans="1:6" ht="36" customHeight="1" x14ac:dyDescent="0.35">
      <c r="A100" s="1701" t="s">
        <v>1918</v>
      </c>
      <c r="B100" s="1631" t="s">
        <v>1919</v>
      </c>
      <c r="C100" s="1631"/>
      <c r="D100" s="1632"/>
      <c r="F100" s="849">
        <f>IF('LUIK 1 - AANVRAAG'!G34="",1,0)</f>
        <v>1</v>
      </c>
    </row>
    <row r="101" spans="1:6" ht="36.75" customHeight="1" thickBot="1" x14ac:dyDescent="0.4">
      <c r="A101" s="1702"/>
      <c r="B101" s="1703" t="s">
        <v>1920</v>
      </c>
      <c r="C101" s="1703"/>
      <c r="D101" s="1704"/>
      <c r="F101" s="849">
        <f>IF(AND('LUIK 1 - AANVRAAG'!G38="",'LUIK 1 - AANVRAAG'!G39=""),1,0)</f>
        <v>0</v>
      </c>
    </row>
    <row r="102" spans="1:6" x14ac:dyDescent="0.35">
      <c r="F102" s="326">
        <v>1</v>
      </c>
    </row>
    <row r="103" spans="1:6" ht="18" x14ac:dyDescent="0.35">
      <c r="A103" s="1641" t="s">
        <v>1155</v>
      </c>
      <c r="B103" s="1641"/>
      <c r="C103" s="1641"/>
      <c r="D103" s="1641"/>
      <c r="E103" s="1641"/>
      <c r="F103" s="326">
        <v>1</v>
      </c>
    </row>
    <row r="104" spans="1:6" x14ac:dyDescent="0.35">
      <c r="F104" s="326">
        <v>1</v>
      </c>
    </row>
    <row r="105" spans="1:6" x14ac:dyDescent="0.35">
      <c r="A105" s="1647" t="s">
        <v>1156</v>
      </c>
      <c r="B105" s="1647"/>
      <c r="C105" s="1647"/>
      <c r="D105" s="1647"/>
      <c r="E105" s="1647"/>
      <c r="F105" s="326">
        <v>1</v>
      </c>
    </row>
    <row r="106" spans="1:6" ht="16" thickBot="1" x14ac:dyDescent="0.4">
      <c r="F106" s="326">
        <v>1</v>
      </c>
    </row>
    <row r="107" spans="1:6" x14ac:dyDescent="0.35">
      <c r="A107" s="1642" t="s">
        <v>535</v>
      </c>
      <c r="B107" s="1635" t="s">
        <v>536</v>
      </c>
      <c r="C107" s="1635"/>
      <c r="D107" s="1108">
        <f>'LUIK3 + SCORE'!E6</f>
        <v>0</v>
      </c>
      <c r="F107" s="361">
        <v>1</v>
      </c>
    </row>
    <row r="108" spans="1:6" x14ac:dyDescent="0.35">
      <c r="A108" s="1643"/>
      <c r="B108" s="1636" t="s">
        <v>537</v>
      </c>
      <c r="C108" s="1636"/>
      <c r="D108" s="366">
        <f>'LUIK3 + SCORE'!E7</f>
        <v>0</v>
      </c>
      <c r="F108" s="360">
        <v>1</v>
      </c>
    </row>
    <row r="109" spans="1:6" x14ac:dyDescent="0.35">
      <c r="A109" s="1643"/>
      <c r="B109" s="1636" t="s">
        <v>1936</v>
      </c>
      <c r="C109" s="1636"/>
      <c r="D109" s="317">
        <f>'LUIK3 + SCORE'!$E$18</f>
        <v>0</v>
      </c>
      <c r="F109" s="360">
        <v>1</v>
      </c>
    </row>
    <row r="110" spans="1:6" x14ac:dyDescent="0.35">
      <c r="A110" s="327" t="s">
        <v>1937</v>
      </c>
      <c r="B110" s="1633" t="s">
        <v>1938</v>
      </c>
      <c r="C110" s="1633"/>
      <c r="D110" s="369" t="str">
        <f>'LUIK3 + SCORE'!$E$8</f>
        <v>Maak uw keuze</v>
      </c>
      <c r="F110" s="360">
        <v>1</v>
      </c>
    </row>
    <row r="111" spans="1:6" x14ac:dyDescent="0.35">
      <c r="A111" s="327" t="s">
        <v>1939</v>
      </c>
      <c r="B111" s="1633" t="s">
        <v>1940</v>
      </c>
      <c r="C111" s="1633"/>
      <c r="D111" s="370">
        <f>'LUIK3 + SCORE'!E9</f>
        <v>0</v>
      </c>
      <c r="F111" s="360">
        <v>1</v>
      </c>
    </row>
    <row r="112" spans="1:6" x14ac:dyDescent="0.35">
      <c r="A112" s="1643" t="s">
        <v>1451</v>
      </c>
      <c r="B112" s="1633" t="s">
        <v>1941</v>
      </c>
      <c r="C112" s="1633"/>
      <c r="D112" s="370">
        <f>'LUIK3 + SCORE'!E10</f>
        <v>0</v>
      </c>
      <c r="F112" s="360">
        <v>1</v>
      </c>
    </row>
    <row r="113" spans="1:6" x14ac:dyDescent="0.35">
      <c r="A113" s="1643"/>
      <c r="B113" s="1633" t="s">
        <v>1942</v>
      </c>
      <c r="C113" s="1633"/>
      <c r="D113" s="369" t="str">
        <f>'LUIK3 + SCORE'!$E$13</f>
        <v>Maak uw keuze</v>
      </c>
      <c r="F113" s="360">
        <v>1</v>
      </c>
    </row>
    <row r="114" spans="1:6" x14ac:dyDescent="0.35">
      <c r="A114" s="1643"/>
      <c r="B114" s="1633" t="s">
        <v>1943</v>
      </c>
      <c r="C114" s="1633"/>
      <c r="D114" s="369" t="str">
        <f>'LUIK3 + SCORE'!$E$14</f>
        <v>Maak uw keuze</v>
      </c>
      <c r="F114" s="360">
        <v>1</v>
      </c>
    </row>
    <row r="115" spans="1:6" x14ac:dyDescent="0.35">
      <c r="A115" s="1643"/>
      <c r="B115" s="1637" t="s">
        <v>1687</v>
      </c>
      <c r="C115" s="1657"/>
      <c r="D115" s="1638"/>
      <c r="F115" s="360">
        <f>IF(D114="Tijdelijke structuur",1,0)</f>
        <v>0</v>
      </c>
    </row>
    <row r="116" spans="1:6" x14ac:dyDescent="0.35">
      <c r="A116" s="1643"/>
      <c r="B116" s="1633" t="s">
        <v>1944</v>
      </c>
      <c r="C116" s="1633"/>
      <c r="D116" s="369" t="str">
        <f>'LUIK3 + SCORE'!$E$15</f>
        <v>Maak uw keuze</v>
      </c>
      <c r="F116" s="360">
        <v>1</v>
      </c>
    </row>
    <row r="117" spans="1:6" x14ac:dyDescent="0.35">
      <c r="A117" s="1643"/>
      <c r="B117" s="1633" t="s">
        <v>1945</v>
      </c>
      <c r="C117" s="1633"/>
      <c r="D117" s="369" t="str">
        <f>'LUIK3 + SCORE'!$E$16</f>
        <v>Maak uw keuze</v>
      </c>
      <c r="F117" s="360">
        <v>1</v>
      </c>
    </row>
    <row r="118" spans="1:6" ht="16" thickBot="1" x14ac:dyDescent="0.4">
      <c r="A118" s="1644"/>
      <c r="B118" s="1645" t="s">
        <v>1946</v>
      </c>
      <c r="C118" s="1645"/>
      <c r="D118" s="803" t="str">
        <f>'LUIK3 + SCORE'!$E$17</f>
        <v>Maak uw keuze</v>
      </c>
      <c r="F118" s="841">
        <v>1</v>
      </c>
    </row>
    <row r="119" spans="1:6" ht="16" thickBot="1" x14ac:dyDescent="0.4">
      <c r="A119" s="1654" t="s">
        <v>2203</v>
      </c>
      <c r="B119" s="1655"/>
      <c r="C119" s="1655"/>
      <c r="D119" s="1656"/>
      <c r="F119" s="380">
        <f>IF(OR(F107=1,F108=1,F109=1,F110=1,F111=1,F112=1,F113=1,F114=1,F116=1,F117=1,F118=1),0,"?")</f>
        <v>0</v>
      </c>
    </row>
    <row r="120" spans="1:6" x14ac:dyDescent="0.35">
      <c r="F120" s="326">
        <v>1</v>
      </c>
    </row>
    <row r="121" spans="1:6" x14ac:dyDescent="0.35">
      <c r="A121" s="1647" t="s">
        <v>1157</v>
      </c>
      <c r="B121" s="1647"/>
      <c r="C121" s="1647"/>
      <c r="D121" s="1647"/>
      <c r="E121" s="1647"/>
      <c r="F121" s="326">
        <v>1</v>
      </c>
    </row>
    <row r="122" spans="1:6" ht="16" thickBot="1" x14ac:dyDescent="0.4">
      <c r="F122" s="326">
        <v>1</v>
      </c>
    </row>
    <row r="123" spans="1:6" x14ac:dyDescent="0.35">
      <c r="A123" s="371" t="s">
        <v>58</v>
      </c>
      <c r="B123" s="1652" t="s">
        <v>59</v>
      </c>
      <c r="C123" s="1652"/>
      <c r="D123" s="329" t="str">
        <f>'LUIK3 + SCORE'!$E$42</f>
        <v>Maak uw keuze</v>
      </c>
      <c r="F123" s="361">
        <v>1</v>
      </c>
    </row>
    <row r="124" spans="1:6" x14ac:dyDescent="0.35">
      <c r="A124" s="372" t="s">
        <v>1827</v>
      </c>
      <c r="B124" s="1653" t="s">
        <v>1828</v>
      </c>
      <c r="C124" s="1653"/>
      <c r="D124" s="317" t="str">
        <f>'LUIK3 + SCORE'!$E$43</f>
        <v>Maak uw keuze</v>
      </c>
      <c r="F124" s="360">
        <v>1</v>
      </c>
    </row>
    <row r="125" spans="1:6" x14ac:dyDescent="0.35">
      <c r="A125" s="372" t="s">
        <v>1947</v>
      </c>
      <c r="B125" s="1653" t="s">
        <v>1913</v>
      </c>
      <c r="C125" s="1653"/>
      <c r="D125" s="317" t="str">
        <f>'LUIK3 + SCORE'!$E$44</f>
        <v>Maak uw keuze</v>
      </c>
      <c r="F125" s="360">
        <v>1</v>
      </c>
    </row>
    <row r="126" spans="1:6" x14ac:dyDescent="0.35">
      <c r="A126" s="1648" t="s">
        <v>1915</v>
      </c>
      <c r="B126" s="1653" t="s">
        <v>1916</v>
      </c>
      <c r="C126" s="1653"/>
      <c r="D126" s="317" t="str">
        <f>'LUIK3 + SCORE'!$E$45</f>
        <v>Maak uw keuze</v>
      </c>
      <c r="F126" s="360">
        <v>1</v>
      </c>
    </row>
    <row r="127" spans="1:6" x14ac:dyDescent="0.35">
      <c r="A127" s="1648"/>
      <c r="B127" s="1653" t="s">
        <v>227</v>
      </c>
      <c r="C127" s="1653"/>
      <c r="D127" s="317" t="str">
        <f>'LUIK3 + SCORE'!$E$46</f>
        <v>Maak uw keuze</v>
      </c>
      <c r="F127" s="360">
        <v>1</v>
      </c>
    </row>
    <row r="128" spans="1:6" x14ac:dyDescent="0.35">
      <c r="A128" s="802"/>
      <c r="B128" s="1653" t="s">
        <v>230</v>
      </c>
      <c r="C128" s="1653"/>
      <c r="D128" s="317" t="str">
        <f>'LUIK3 + SCORE'!$E$47</f>
        <v>Maak uw keuze</v>
      </c>
      <c r="F128" s="360">
        <v>1</v>
      </c>
    </row>
    <row r="129" spans="1:6" x14ac:dyDescent="0.35">
      <c r="A129" s="1648" t="s">
        <v>1850</v>
      </c>
      <c r="B129" s="1653" t="s">
        <v>139</v>
      </c>
      <c r="C129" s="1653"/>
      <c r="D129" s="317" t="str">
        <f>'LUIK3 + SCORE'!$E$48</f>
        <v>Maak uw keuze</v>
      </c>
      <c r="F129" s="360">
        <v>1</v>
      </c>
    </row>
    <row r="130" spans="1:6" x14ac:dyDescent="0.35">
      <c r="A130" s="1648"/>
      <c r="B130" s="1649" t="s">
        <v>140</v>
      </c>
      <c r="C130" s="1650"/>
      <c r="D130" s="317" t="str">
        <f>'LUIK3 + SCORE'!$E$49</f>
        <v>Maak uw keuze</v>
      </c>
      <c r="F130" s="360">
        <v>1</v>
      </c>
    </row>
    <row r="131" spans="1:6" x14ac:dyDescent="0.35">
      <c r="A131" s="1651" t="s">
        <v>650</v>
      </c>
      <c r="B131" s="1653" t="s">
        <v>1948</v>
      </c>
      <c r="C131" s="1653"/>
      <c r="D131" s="317" t="str">
        <f>'LUIK3 + SCORE'!$E$50</f>
        <v>Maak uw keuze</v>
      </c>
      <c r="F131" s="360">
        <v>1</v>
      </c>
    </row>
    <row r="132" spans="1:6" x14ac:dyDescent="0.35">
      <c r="A132" s="1651"/>
      <c r="B132" s="1653" t="s">
        <v>1949</v>
      </c>
      <c r="C132" s="1653"/>
      <c r="D132" s="366">
        <f>'LUIK3 + SCORE'!$E$51</f>
        <v>0</v>
      </c>
      <c r="F132" s="360">
        <v>1</v>
      </c>
    </row>
    <row r="133" spans="1:6" x14ac:dyDescent="0.35">
      <c r="A133" s="1651"/>
      <c r="B133" s="1653" t="s">
        <v>241</v>
      </c>
      <c r="C133" s="1653"/>
      <c r="D133" s="317" t="str">
        <f>'LUIK3 + SCORE'!$E$54</f>
        <v>Maak uw keuze</v>
      </c>
      <c r="F133" s="360">
        <v>1</v>
      </c>
    </row>
    <row r="134" spans="1:6" ht="21" customHeight="1" thickBot="1" x14ac:dyDescent="0.4">
      <c r="A134" s="373" t="s">
        <v>2294</v>
      </c>
      <c r="B134" s="1646" t="s">
        <v>1950</v>
      </c>
      <c r="C134" s="1646"/>
      <c r="D134" s="330" t="str">
        <f>'LUIK3 + SCORE'!$E$55</f>
        <v>Maak uw keuze</v>
      </c>
      <c r="F134" s="362">
        <v>1</v>
      </c>
    </row>
  </sheetData>
  <sheetProtection sheet="1" objects="1" scenarios="1" selectLockedCells="1" selectUnlockedCells="1"/>
  <autoFilter ref="F10:F134" xr:uid="{00000000-0009-0000-0000-000011000000}"/>
  <mergeCells count="155">
    <mergeCell ref="A24:D24"/>
    <mergeCell ref="C28:D28"/>
    <mergeCell ref="C29:D29"/>
    <mergeCell ref="C49:D49"/>
    <mergeCell ref="A37:B37"/>
    <mergeCell ref="A35:B35"/>
    <mergeCell ref="C37:D37"/>
    <mergeCell ref="A34:B34"/>
    <mergeCell ref="A31:B31"/>
    <mergeCell ref="C40:D40"/>
    <mergeCell ref="C41:D41"/>
    <mergeCell ref="C26:D26"/>
    <mergeCell ref="A42:B42"/>
    <mergeCell ref="C33:D33"/>
    <mergeCell ref="A40:B40"/>
    <mergeCell ref="A36:B36"/>
    <mergeCell ref="C36:D36"/>
    <mergeCell ref="C35:D35"/>
    <mergeCell ref="C32:D32"/>
    <mergeCell ref="A32:B32"/>
    <mergeCell ref="A95:C95"/>
    <mergeCell ref="B97:D97"/>
    <mergeCell ref="A98:A99"/>
    <mergeCell ref="C1:E1"/>
    <mergeCell ref="C2:E2"/>
    <mergeCell ref="C3:E3"/>
    <mergeCell ref="C31:D31"/>
    <mergeCell ref="A9:D9"/>
    <mergeCell ref="C15:D15"/>
    <mergeCell ref="C16:D16"/>
    <mergeCell ref="C17:D17"/>
    <mergeCell ref="A11:B11"/>
    <mergeCell ref="A12:B12"/>
    <mergeCell ref="A13:B14"/>
    <mergeCell ref="A15:B16"/>
    <mergeCell ref="A17:B17"/>
    <mergeCell ref="A18:B18"/>
    <mergeCell ref="A19:B19"/>
    <mergeCell ref="A20:D20"/>
    <mergeCell ref="A26:B26"/>
    <mergeCell ref="A27:B27"/>
    <mergeCell ref="A28:B28"/>
    <mergeCell ref="A30:B30"/>
    <mergeCell ref="C30:D30"/>
    <mergeCell ref="A70:D70"/>
    <mergeCell ref="A66:D66"/>
    <mergeCell ref="A68:D68"/>
    <mergeCell ref="A77:B88"/>
    <mergeCell ref="A93:D93"/>
    <mergeCell ref="A89:B92"/>
    <mergeCell ref="C80:D80"/>
    <mergeCell ref="A74:D74"/>
    <mergeCell ref="A75:D75"/>
    <mergeCell ref="C88:D88"/>
    <mergeCell ref="C81:D81"/>
    <mergeCell ref="C82:D82"/>
    <mergeCell ref="C83:D83"/>
    <mergeCell ref="C84:D84"/>
    <mergeCell ref="C86:D86"/>
    <mergeCell ref="C87:D87"/>
    <mergeCell ref="C85:D85"/>
    <mergeCell ref="A5:E5"/>
    <mergeCell ref="C39:D39"/>
    <mergeCell ref="A43:B43"/>
    <mergeCell ref="A63:D63"/>
    <mergeCell ref="A61:D61"/>
    <mergeCell ref="A47:D47"/>
    <mergeCell ref="A49:B49"/>
    <mergeCell ref="C43:D43"/>
    <mergeCell ref="C44:D44"/>
    <mergeCell ref="A45:D45"/>
    <mergeCell ref="C13:D13"/>
    <mergeCell ref="C14:D14"/>
    <mergeCell ref="C27:D27"/>
    <mergeCell ref="A51:B51"/>
    <mergeCell ref="C51:D51"/>
    <mergeCell ref="A54:B54"/>
    <mergeCell ref="C54:D54"/>
    <mergeCell ref="A52:B52"/>
    <mergeCell ref="C52:D52"/>
    <mergeCell ref="A53:B53"/>
    <mergeCell ref="C53:D53"/>
    <mergeCell ref="A57:B57"/>
    <mergeCell ref="C57:D57"/>
    <mergeCell ref="A55:B55"/>
    <mergeCell ref="A7:E7"/>
    <mergeCell ref="A22:E22"/>
    <mergeCell ref="A59:E59"/>
    <mergeCell ref="A72:E72"/>
    <mergeCell ref="A38:B38"/>
    <mergeCell ref="A44:B44"/>
    <mergeCell ref="C38:D38"/>
    <mergeCell ref="A67:D67"/>
    <mergeCell ref="C11:D11"/>
    <mergeCell ref="C12:D12"/>
    <mergeCell ref="A33:B33"/>
    <mergeCell ref="A64:D64"/>
    <mergeCell ref="A65:D65"/>
    <mergeCell ref="C55:D55"/>
    <mergeCell ref="A56:B56"/>
    <mergeCell ref="C56:D56"/>
    <mergeCell ref="C18:D18"/>
    <mergeCell ref="C19:D19"/>
    <mergeCell ref="A50:B50"/>
    <mergeCell ref="C50:D50"/>
    <mergeCell ref="A29:B29"/>
    <mergeCell ref="A39:B39"/>
    <mergeCell ref="A41:B41"/>
    <mergeCell ref="A69:D69"/>
    <mergeCell ref="B134:C134"/>
    <mergeCell ref="A105:E105"/>
    <mergeCell ref="A121:E121"/>
    <mergeCell ref="A126:A127"/>
    <mergeCell ref="A129:A130"/>
    <mergeCell ref="B130:C130"/>
    <mergeCell ref="B110:C110"/>
    <mergeCell ref="A131:A133"/>
    <mergeCell ref="B123:C123"/>
    <mergeCell ref="B124:C124"/>
    <mergeCell ref="B133:C133"/>
    <mergeCell ref="B125:C125"/>
    <mergeCell ref="B126:C126"/>
    <mergeCell ref="B127:C127"/>
    <mergeCell ref="B128:C128"/>
    <mergeCell ref="B129:C129"/>
    <mergeCell ref="B131:C131"/>
    <mergeCell ref="B132:C132"/>
    <mergeCell ref="A119:D119"/>
    <mergeCell ref="B116:C116"/>
    <mergeCell ref="B115:D115"/>
    <mergeCell ref="B117:C117"/>
    <mergeCell ref="B98:D98"/>
    <mergeCell ref="B99:D99"/>
    <mergeCell ref="B112:C112"/>
    <mergeCell ref="B114:C114"/>
    <mergeCell ref="B113:C113"/>
    <mergeCell ref="C42:D42"/>
    <mergeCell ref="B107:C107"/>
    <mergeCell ref="B108:C108"/>
    <mergeCell ref="B109:C109"/>
    <mergeCell ref="C89:D89"/>
    <mergeCell ref="C90:D90"/>
    <mergeCell ref="C91:D91"/>
    <mergeCell ref="C77:D77"/>
    <mergeCell ref="C78:D78"/>
    <mergeCell ref="C79:D79"/>
    <mergeCell ref="C92:D92"/>
    <mergeCell ref="B111:C111"/>
    <mergeCell ref="A103:E103"/>
    <mergeCell ref="A107:A109"/>
    <mergeCell ref="A112:A118"/>
    <mergeCell ref="B118:C118"/>
    <mergeCell ref="A100:A101"/>
    <mergeCell ref="B100:D100"/>
    <mergeCell ref="B101:D101"/>
  </mergeCells>
  <phoneticPr fontId="2" type="noConversion"/>
  <pageMargins left="0.57999999999999996" right="0.5" top="0.45" bottom="0.66" header="0.23" footer="0.12"/>
  <pageSetup paperSize="9" scale="83" orientation="landscape" verticalDpi="2" r:id="rId1"/>
  <headerFooter alignWithMargins="0">
    <oddHeader xml:space="preserve">&amp;R&amp;F
</oddHeader>
    <oddFooter>&amp;LProvinciale Commissie voor Dringende Geneeskundige Hulpverlening&amp;C&amp;G&amp;RVersie  20 - &amp;P/&amp;N
Datum outprint : &amp;D</oddFooter>
  </headerFooter>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7">
    <tabColor indexed="51"/>
  </sheetPr>
  <dimension ref="A1:Q144"/>
  <sheetViews>
    <sheetView topLeftCell="A118" zoomScale="75" zoomScaleNormal="75" workbookViewId="0">
      <selection activeCell="A144" sqref="A144"/>
    </sheetView>
  </sheetViews>
  <sheetFormatPr defaultColWidth="9.1796875" defaultRowHeight="15.5" x14ac:dyDescent="0.35"/>
  <cols>
    <col min="1" max="1" width="17.54296875" style="324" customWidth="1"/>
    <col min="2" max="2" width="15.81640625" style="324" customWidth="1"/>
    <col min="3" max="3" width="55.26953125" style="320" customWidth="1"/>
    <col min="4" max="4" width="13.26953125" style="344" customWidth="1"/>
    <col min="5" max="5" width="8.54296875" style="320" customWidth="1"/>
    <col min="6" max="6" width="12.453125" style="344" bestFit="1" customWidth="1"/>
    <col min="7" max="7" width="9.453125" style="320" bestFit="1" customWidth="1"/>
    <col min="8" max="8" width="9.1796875" style="320"/>
    <col min="9" max="9" width="15.26953125" style="320" bestFit="1" customWidth="1"/>
    <col min="10" max="10" width="53.81640625" style="320" customWidth="1"/>
    <col min="11" max="16384" width="9.1796875" style="320"/>
  </cols>
  <sheetData>
    <row r="1" spans="1:10" x14ac:dyDescent="0.35">
      <c r="B1" s="1781" t="str">
        <f>CIJFERS!C41</f>
        <v>ICM - Buitendienst Antwerpen - Advies voor risicomanifestaties (PRIMA)</v>
      </c>
      <c r="C1" s="1781"/>
      <c r="D1" s="1781"/>
    </row>
    <row r="2" spans="1:10" x14ac:dyDescent="0.35">
      <c r="B2" s="1202"/>
      <c r="C2" s="1781" t="str">
        <f>CIJFERS!C36</f>
        <v>icm.antwerpen@health.fgov.be</v>
      </c>
      <c r="D2" s="1781"/>
    </row>
    <row r="3" spans="1:10" ht="9" customHeight="1" x14ac:dyDescent="0.35"/>
    <row r="4" spans="1:10" ht="18" x14ac:dyDescent="0.35">
      <c r="A4" s="1735" t="s">
        <v>1163</v>
      </c>
      <c r="B4" s="1735"/>
      <c r="C4" s="1735"/>
      <c r="D4" s="1735"/>
    </row>
    <row r="5" spans="1:10" ht="23.25" customHeight="1" x14ac:dyDescent="0.35">
      <c r="A5" s="1768">
        <f>'LUIK 1 - AANVRAAG'!$G$5</f>
        <v>0</v>
      </c>
      <c r="B5" s="1769"/>
      <c r="C5" s="1769"/>
      <c r="D5" s="1770"/>
    </row>
    <row r="6" spans="1:10" x14ac:dyDescent="0.35">
      <c r="A6" s="1648" t="s">
        <v>2080</v>
      </c>
      <c r="B6" s="1648"/>
      <c r="C6" s="1771">
        <f>'LUIK 1 - AANVRAAG'!$G$3</f>
        <v>0</v>
      </c>
      <c r="D6" s="1771"/>
    </row>
    <row r="7" spans="1:10" ht="15" customHeight="1" x14ac:dyDescent="0.35">
      <c r="A7" s="1773" t="str">
        <f>WERKDOC!A11</f>
        <v>Datum van de manifestatie</v>
      </c>
      <c r="B7" s="1773"/>
      <c r="C7" s="1773"/>
      <c r="D7" s="354">
        <f>WERKDOC!B11</f>
        <v>0</v>
      </c>
      <c r="E7" s="325"/>
    </row>
    <row r="8" spans="1:10" x14ac:dyDescent="0.35">
      <c r="A8" s="1773" t="str">
        <f>WERKDOC!A12</f>
        <v>Totale populatie waarmee rekening gehouden wordt (na correctie)</v>
      </c>
      <c r="B8" s="1773"/>
      <c r="C8" s="1773"/>
      <c r="D8" s="356" t="e">
        <f>WERKDOC!B12</f>
        <v>#DIV/0!</v>
      </c>
      <c r="E8" s="315"/>
      <c r="J8" s="929"/>
    </row>
    <row r="9" spans="1:10" ht="15" customHeight="1" x14ac:dyDescent="0.35">
      <c r="A9" s="1773" t="str">
        <f>WERKDOC!A13</f>
        <v>Totale duur van de manifestatie in uren</v>
      </c>
      <c r="B9" s="1773"/>
      <c r="C9" s="1773"/>
      <c r="D9" s="356">
        <f>WERKDOC!B13</f>
        <v>0</v>
      </c>
      <c r="E9" s="315"/>
    </row>
    <row r="10" spans="1:10" ht="15" customHeight="1" x14ac:dyDescent="0.35">
      <c r="A10" s="1773" t="str">
        <f>WERKDOC!A14</f>
        <v>Maximale populatie die tegelijk aanwezig is</v>
      </c>
      <c r="B10" s="1773"/>
      <c r="C10" s="1773"/>
      <c r="D10" s="356">
        <f>WERKDOC!B14</f>
        <v>0</v>
      </c>
      <c r="E10" s="315"/>
      <c r="J10" s="929"/>
    </row>
    <row r="11" spans="1:10" ht="15" customHeight="1" x14ac:dyDescent="0.35">
      <c r="A11" s="1773" t="str">
        <f>WERKDOC!A15</f>
        <v>Maximale duur dat deze populatie ter plaatse reëel aanwezig is in uren</v>
      </c>
      <c r="B11" s="1773"/>
      <c r="C11" s="1773"/>
      <c r="D11" s="356">
        <f>WERKDOC!B15</f>
        <v>0</v>
      </c>
      <c r="E11" s="315"/>
    </row>
    <row r="12" spans="1:10" ht="6.75" customHeight="1" x14ac:dyDescent="0.35"/>
    <row r="13" spans="1:10" ht="18" x14ac:dyDescent="0.35">
      <c r="A13" s="1736" t="s">
        <v>1164</v>
      </c>
      <c r="B13" s="1736"/>
      <c r="C13" s="1736"/>
      <c r="D13" s="1736"/>
    </row>
    <row r="14" spans="1:10" ht="4.5" customHeight="1" x14ac:dyDescent="0.35">
      <c r="A14" s="321"/>
      <c r="B14" s="321"/>
    </row>
    <row r="15" spans="1:10" x14ac:dyDescent="0.35">
      <c r="A15" s="321" t="s">
        <v>1165</v>
      </c>
      <c r="B15" s="321"/>
    </row>
    <row r="16" spans="1:10" ht="3.75" customHeight="1" x14ac:dyDescent="0.35"/>
    <row r="17" spans="1:10" ht="15" customHeight="1" x14ac:dyDescent="0.35">
      <c r="A17" s="1737" t="str">
        <f>WERKDOC!A17</f>
        <v>Is er nood aan een medische antenne bij deze manifestatie</v>
      </c>
      <c r="B17" s="1738"/>
      <c r="C17" s="1739"/>
      <c r="D17" s="355" t="str">
        <f>IF(AND(D56=0,D57=0,D58=0,D62=0,D64=0,D65=0),"NEEN",WERKDOC!H3)</f>
        <v>NEEN</v>
      </c>
      <c r="E17" s="315"/>
    </row>
    <row r="18" spans="1:10" ht="15" customHeight="1" x14ac:dyDescent="0.35">
      <c r="A18" s="1737" t="str">
        <f>WERKDOC!A18</f>
        <v>Is er nood aan extra maatregelen i.v.m. de volksgezondheid</v>
      </c>
      <c r="B18" s="1738"/>
      <c r="C18" s="1739"/>
      <c r="D18" s="355" t="str">
        <f>WERKDOC!B18</f>
        <v>NEEN</v>
      </c>
      <c r="E18" s="315"/>
    </row>
    <row r="19" spans="1:10" ht="15" customHeight="1" x14ac:dyDescent="0.35">
      <c r="A19" s="1737" t="str">
        <f>WERKDOC!A19</f>
        <v>Is er nood aan maatregelen voor een eventuele camping</v>
      </c>
      <c r="B19" s="1738"/>
      <c r="C19" s="1739"/>
      <c r="D19" s="355" t="str">
        <f>WERKDOC!B19</f>
        <v>NEEN</v>
      </c>
      <c r="E19" s="315"/>
    </row>
    <row r="20" spans="1:10" ht="6" customHeight="1" x14ac:dyDescent="0.35"/>
    <row r="21" spans="1:10" x14ac:dyDescent="0.35">
      <c r="A21" s="321" t="s">
        <v>1166</v>
      </c>
      <c r="B21" s="321"/>
    </row>
    <row r="22" spans="1:10" ht="6" customHeight="1" x14ac:dyDescent="0.35"/>
    <row r="23" spans="1:10" x14ac:dyDescent="0.35">
      <c r="A23" s="322" t="s">
        <v>1167</v>
      </c>
      <c r="B23" s="322"/>
    </row>
    <row r="24" spans="1:10" ht="7.5" customHeight="1" thickBot="1" x14ac:dyDescent="0.4"/>
    <row r="25" spans="1:10" ht="15" customHeight="1" x14ac:dyDescent="0.35">
      <c r="A25" s="1742" t="str">
        <f>WERKDOC!A21</f>
        <v>Aantal levensbedreigende aandoeningen (na regulatie)</v>
      </c>
      <c r="B25" s="1743"/>
      <c r="C25" s="1744"/>
      <c r="D25" s="1117">
        <f>WERKDOC!B21</f>
        <v>0</v>
      </c>
      <c r="E25" s="1119"/>
    </row>
    <row r="26" spans="1:10" ht="30" customHeight="1" x14ac:dyDescent="0.35">
      <c r="A26" s="1742" t="str">
        <f>WERKDOC!A22</f>
        <v>Aantal dringende aandoeningen (vraag voor arts en/of voor ambulancetransport naar ziekenhuis)</v>
      </c>
      <c r="B26" s="1743"/>
      <c r="C26" s="1744"/>
      <c r="D26" s="1117">
        <f>WERKDOC!B22</f>
        <v>0</v>
      </c>
      <c r="E26" s="1120"/>
    </row>
    <row r="27" spans="1:10" ht="15" customHeight="1" x14ac:dyDescent="0.35">
      <c r="A27" s="1742" t="str">
        <f>WERKDOC!A23</f>
        <v>Aantal vragen voor (eenvoudige) medische verzorging</v>
      </c>
      <c r="B27" s="1743"/>
      <c r="C27" s="1744"/>
      <c r="D27" s="1117">
        <f>WERKDOC!B23</f>
        <v>0</v>
      </c>
      <c r="E27" s="1120"/>
    </row>
    <row r="28" spans="1:10" ht="15" customHeight="1" x14ac:dyDescent="0.35">
      <c r="A28" s="1742" t="str">
        <f>WERKDOC!A24</f>
        <v>Totaal aantal te verzorgen personen</v>
      </c>
      <c r="B28" s="1743"/>
      <c r="C28" s="1744"/>
      <c r="D28" s="1117">
        <f>WERKDOC!B24</f>
        <v>0</v>
      </c>
      <c r="E28" s="1120"/>
    </row>
    <row r="29" spans="1:10" ht="32.25" customHeight="1" thickBot="1" x14ac:dyDescent="0.4">
      <c r="A29" s="1742" t="str">
        <f>WERKDOC!A25</f>
        <v>Aantal simultane behandelingen en dus te voorzien aantal plaatsen in de hulppost(en)</v>
      </c>
      <c r="B29" s="1743"/>
      <c r="C29" s="1744"/>
      <c r="D29" s="1117">
        <f>WERKDOC!B25</f>
        <v>0</v>
      </c>
      <c r="E29" s="1121"/>
      <c r="J29" s="316"/>
    </row>
    <row r="30" spans="1:10" ht="7.5" customHeight="1" thickBot="1" x14ac:dyDescent="0.4">
      <c r="F30" s="1112" t="s">
        <v>941</v>
      </c>
    </row>
    <row r="31" spans="1:10" ht="44.25" customHeight="1" thickBot="1" x14ac:dyDescent="0.4">
      <c r="A31" s="1782" t="s">
        <v>902</v>
      </c>
      <c r="B31" s="1783"/>
      <c r="C31" s="1783"/>
      <c r="D31" s="1783"/>
      <c r="E31" s="1784"/>
      <c r="F31" s="1116">
        <f>IF(OR(E25&gt;0,E26&gt;0,E27&gt;0,E28&gt;0,E29&gt;0,E56&gt;0,E57&gt;0,E58&gt;0,E62&gt;0,E64&gt;0,E65&gt;0),1,0)</f>
        <v>0</v>
      </c>
      <c r="J31" s="316"/>
    </row>
    <row r="32" spans="1:10" ht="9" customHeight="1" x14ac:dyDescent="0.35">
      <c r="A32" s="962"/>
      <c r="B32" s="962"/>
      <c r="C32" s="962"/>
      <c r="D32" s="962"/>
      <c r="E32" s="962"/>
      <c r="F32" s="344">
        <v>1</v>
      </c>
    </row>
    <row r="33" spans="1:10" ht="16" thickBot="1" x14ac:dyDescent="0.4">
      <c r="A33" s="322" t="s">
        <v>1168</v>
      </c>
      <c r="B33" s="322"/>
      <c r="F33" s="344">
        <v>1</v>
      </c>
    </row>
    <row r="34" spans="1:10" ht="9" customHeight="1" thickBot="1" x14ac:dyDescent="0.4">
      <c r="A34" s="323"/>
      <c r="B34" s="323"/>
      <c r="F34" s="852">
        <v>1</v>
      </c>
      <c r="H34" s="1125"/>
      <c r="I34" s="1126" t="s">
        <v>1158</v>
      </c>
    </row>
    <row r="35" spans="1:10" ht="16" thickBot="1" x14ac:dyDescent="0.4">
      <c r="A35" s="1648" t="s">
        <v>1170</v>
      </c>
      <c r="B35" s="1648"/>
      <c r="C35" s="1648"/>
      <c r="D35" s="1648"/>
      <c r="F35" s="1114">
        <f>IF('LUIK3 + SCORE'!I43&gt;0,1,0)</f>
        <v>0</v>
      </c>
    </row>
    <row r="36" spans="1:10" ht="16" thickBot="1" x14ac:dyDescent="0.4">
      <c r="A36" s="1648" t="s">
        <v>1171</v>
      </c>
      <c r="B36" s="1648"/>
      <c r="C36" s="1648"/>
      <c r="D36" s="1648"/>
      <c r="F36" s="850">
        <f>IF('LUIK3 + SCORE'!$I$44&gt;0,1,0)</f>
        <v>0</v>
      </c>
      <c r="H36" s="343"/>
      <c r="I36" s="342" t="s">
        <v>1159</v>
      </c>
    </row>
    <row r="37" spans="1:10" x14ac:dyDescent="0.35">
      <c r="A37" s="1648" t="s">
        <v>1172</v>
      </c>
      <c r="B37" s="1648"/>
      <c r="C37" s="1648"/>
      <c r="D37" s="1648"/>
      <c r="F37" s="375">
        <v>0</v>
      </c>
    </row>
    <row r="38" spans="1:10" x14ac:dyDescent="0.35">
      <c r="A38" s="1648" t="s">
        <v>883</v>
      </c>
      <c r="B38" s="1648"/>
      <c r="C38" s="1648"/>
      <c r="D38" s="1648"/>
      <c r="F38" s="375">
        <v>0</v>
      </c>
    </row>
    <row r="39" spans="1:10" x14ac:dyDescent="0.35">
      <c r="A39" s="1745" t="s">
        <v>2214</v>
      </c>
      <c r="B39" s="1746"/>
      <c r="C39" s="1746"/>
      <c r="D39" s="1747"/>
      <c r="F39" s="375">
        <v>0</v>
      </c>
      <c r="J39" s="929"/>
    </row>
    <row r="40" spans="1:10" x14ac:dyDescent="0.35">
      <c r="A40" s="1648" t="s">
        <v>884</v>
      </c>
      <c r="B40" s="1648"/>
      <c r="C40" s="1648"/>
      <c r="D40" s="1648"/>
      <c r="F40" s="375">
        <v>0</v>
      </c>
    </row>
    <row r="41" spans="1:10" x14ac:dyDescent="0.35">
      <c r="A41" s="1648" t="s">
        <v>885</v>
      </c>
      <c r="B41" s="1648"/>
      <c r="C41" s="1648"/>
      <c r="D41" s="1648"/>
      <c r="F41" s="850">
        <f>IF('LUIK3 + SCORE'!L55=1,1,IF('LUIK3 + SCORE'!M55=1,1,IF('LUIK3 + SCORE'!N55=1,1,0)))</f>
        <v>0</v>
      </c>
    </row>
    <row r="42" spans="1:10" x14ac:dyDescent="0.35">
      <c r="A42" s="1648" t="s">
        <v>886</v>
      </c>
      <c r="B42" s="1648"/>
      <c r="C42" s="1648"/>
      <c r="D42" s="1648"/>
      <c r="F42" s="375">
        <v>0</v>
      </c>
      <c r="J42" s="1134"/>
    </row>
    <row r="43" spans="1:10" x14ac:dyDescent="0.35">
      <c r="A43" s="1648" t="s">
        <v>887</v>
      </c>
      <c r="B43" s="1648"/>
      <c r="C43" s="1648"/>
      <c r="D43" s="1648"/>
      <c r="F43" s="850">
        <f>IF('LUIK3 + SCORE'!O55=1,1,IF('LUIK3 + SCORE'!P55=1,1,0))</f>
        <v>0</v>
      </c>
    </row>
    <row r="44" spans="1:10" x14ac:dyDescent="0.35">
      <c r="A44" s="1648" t="s">
        <v>888</v>
      </c>
      <c r="B44" s="1648"/>
      <c r="C44" s="1648"/>
      <c r="D44" s="1648"/>
      <c r="F44" s="375">
        <v>0</v>
      </c>
    </row>
    <row r="45" spans="1:10" x14ac:dyDescent="0.35">
      <c r="A45" s="1648" t="s">
        <v>836</v>
      </c>
      <c r="B45" s="1648"/>
      <c r="C45" s="1648"/>
      <c r="D45" s="1648"/>
      <c r="F45" s="375">
        <v>0</v>
      </c>
    </row>
    <row r="46" spans="1:10" x14ac:dyDescent="0.35">
      <c r="A46" s="1648" t="s">
        <v>837</v>
      </c>
      <c r="B46" s="1648"/>
      <c r="C46" s="1648"/>
      <c r="D46" s="1648"/>
      <c r="F46" s="375">
        <v>0</v>
      </c>
    </row>
    <row r="47" spans="1:10" x14ac:dyDescent="0.35">
      <c r="A47" s="1745" t="s">
        <v>458</v>
      </c>
      <c r="B47" s="1746"/>
      <c r="C47" s="1746"/>
      <c r="D47" s="1747"/>
      <c r="F47" s="850">
        <f>'LUIK3 + SCORE'!I70</f>
        <v>0</v>
      </c>
      <c r="H47" s="1764"/>
      <c r="I47" s="1764"/>
    </row>
    <row r="48" spans="1:10" x14ac:dyDescent="0.35">
      <c r="A48" s="1745" t="s">
        <v>459</v>
      </c>
      <c r="B48" s="1746"/>
      <c r="C48" s="1746"/>
      <c r="D48" s="1747"/>
      <c r="F48" s="850">
        <f>'LUIK3 + SCORE'!I71</f>
        <v>0</v>
      </c>
      <c r="H48" s="1764"/>
      <c r="I48" s="1764"/>
    </row>
    <row r="49" spans="1:17" x14ac:dyDescent="0.35">
      <c r="A49" s="1750" t="s">
        <v>838</v>
      </c>
      <c r="B49" s="1750"/>
      <c r="C49" s="1750"/>
      <c r="D49" s="1750"/>
      <c r="F49" s="375">
        <v>0</v>
      </c>
    </row>
    <row r="50" spans="1:17" ht="16" thickBot="1" x14ac:dyDescent="0.4">
      <c r="A50" s="1648" t="s">
        <v>1169</v>
      </c>
      <c r="B50" s="1648"/>
      <c r="C50" s="1648"/>
      <c r="D50" s="1648"/>
      <c r="F50" s="377">
        <f>IF(OR(F35=1,F36=1,F37=1,F38=1,F40=1,F41=1,F42=1,F43=1,F44=1,F45=1,F46=1,F49=1),0,1)</f>
        <v>1</v>
      </c>
    </row>
    <row r="51" spans="1:17" ht="11.25" customHeight="1" x14ac:dyDescent="0.35">
      <c r="F51" s="344">
        <v>1</v>
      </c>
      <c r="K51" s="1765"/>
      <c r="L51" s="1765"/>
      <c r="M51" s="1765"/>
      <c r="N51" s="1765"/>
      <c r="O51" s="1765"/>
      <c r="P51" s="1765"/>
      <c r="Q51" s="1765"/>
    </row>
    <row r="52" spans="1:17" x14ac:dyDescent="0.35">
      <c r="A52" s="321" t="s">
        <v>839</v>
      </c>
      <c r="B52" s="321"/>
      <c r="F52" s="344">
        <v>1</v>
      </c>
    </row>
    <row r="53" spans="1:17" ht="6" customHeight="1" x14ac:dyDescent="0.35">
      <c r="F53" s="344">
        <v>1</v>
      </c>
    </row>
    <row r="54" spans="1:17" x14ac:dyDescent="0.35">
      <c r="A54" s="322" t="s">
        <v>840</v>
      </c>
      <c r="B54" s="322"/>
      <c r="F54" s="344">
        <v>1</v>
      </c>
    </row>
    <row r="55" spans="1:17" ht="7.5" customHeight="1" thickBot="1" x14ac:dyDescent="0.4">
      <c r="F55" s="344">
        <v>1</v>
      </c>
    </row>
    <row r="56" spans="1:17" ht="15" customHeight="1" x14ac:dyDescent="0.35">
      <c r="A56" s="1737" t="str">
        <f>WERKDOC!A42</f>
        <v>Minimum aantal MUG-equipes</v>
      </c>
      <c r="B56" s="1738"/>
      <c r="C56" s="1739"/>
      <c r="D56" s="1117">
        <f>WERKDOC!B42</f>
        <v>0</v>
      </c>
      <c r="E56" s="1119"/>
      <c r="F56" s="344">
        <v>1</v>
      </c>
      <c r="H56" s="320" t="str">
        <f>IF('LUIK3 + SCORE'!I55=33,'deel 1 brief'!D56,"?")</f>
        <v>?</v>
      </c>
    </row>
    <row r="57" spans="1:17" ht="15" customHeight="1" x14ac:dyDescent="0.35">
      <c r="A57" s="1737" t="str">
        <f>WERKDOC!A43</f>
        <v>Minimum aantal verpleegkundigen (andere dan de MUG-equipe(s))</v>
      </c>
      <c r="B57" s="1738"/>
      <c r="C57" s="1739"/>
      <c r="D57" s="1117">
        <f>WERKDOC!B43</f>
        <v>0</v>
      </c>
      <c r="E57" s="1120"/>
      <c r="F57" s="344">
        <v>1</v>
      </c>
    </row>
    <row r="58" spans="1:17" ht="15" customHeight="1" thickBot="1" x14ac:dyDescent="0.4">
      <c r="A58" s="1737" t="str">
        <f>WERKDOC!A44</f>
        <v>Minimum aantal artsen (andere dan de MUG-equipe(s))</v>
      </c>
      <c r="B58" s="1738"/>
      <c r="C58" s="1739"/>
      <c r="D58" s="1117">
        <f>WERKDOC!B44</f>
        <v>0</v>
      </c>
      <c r="E58" s="1121"/>
      <c r="F58" s="344">
        <v>1</v>
      </c>
    </row>
    <row r="59" spans="1:17" ht="9" customHeight="1" x14ac:dyDescent="0.35">
      <c r="D59" s="387"/>
      <c r="E59" s="1115"/>
      <c r="F59" s="344">
        <v>1</v>
      </c>
    </row>
    <row r="60" spans="1:17" x14ac:dyDescent="0.35">
      <c r="A60" s="322" t="s">
        <v>841</v>
      </c>
      <c r="B60" s="322"/>
      <c r="D60" s="387"/>
      <c r="E60" s="1115"/>
      <c r="F60" s="344">
        <v>1</v>
      </c>
    </row>
    <row r="61" spans="1:17" ht="7.5" customHeight="1" thickBot="1" x14ac:dyDescent="0.4">
      <c r="D61" s="387"/>
      <c r="E61" s="1115"/>
      <c r="F61" s="344">
        <v>1</v>
      </c>
    </row>
    <row r="62" spans="1:17" ht="15" customHeight="1" thickBot="1" x14ac:dyDescent="0.4">
      <c r="A62" s="1737" t="str">
        <f>WERKDOC!A28</f>
        <v>Minimaal aantal ambulances</v>
      </c>
      <c r="B62" s="1738"/>
      <c r="C62" s="1739"/>
      <c r="D62" s="1117">
        <f>WERKDOC!B28</f>
        <v>0</v>
      </c>
      <c r="E62" s="1123"/>
      <c r="F62" s="344">
        <v>1</v>
      </c>
    </row>
    <row r="63" spans="1:17" ht="16.5" customHeight="1" thickBot="1" x14ac:dyDescent="0.4">
      <c r="A63" s="1752" t="str">
        <f>WERKDOC!A29</f>
        <v xml:space="preserve">  Opmerking : een ambulance is steeds bemand met 2 hulpverleners-ambulancier</v>
      </c>
      <c r="B63" s="1752"/>
      <c r="C63" s="1752">
        <f>WERKDOC!B29</f>
        <v>0</v>
      </c>
      <c r="D63" s="1122"/>
      <c r="E63" s="1115"/>
      <c r="F63" s="1116">
        <f>IF(D62=0,0,1)</f>
        <v>0</v>
      </c>
    </row>
    <row r="64" spans="1:17" ht="15" customHeight="1" x14ac:dyDescent="0.35">
      <c r="A64" s="1737" t="str">
        <f>WERKDOC!A30</f>
        <v>Minimaal aantal BLS-ploegen</v>
      </c>
      <c r="B64" s="1738"/>
      <c r="C64" s="1739"/>
      <c r="D64" s="1117">
        <f>WERKDOC!B30</f>
        <v>0</v>
      </c>
      <c r="E64" s="1119"/>
      <c r="F64" s="344">
        <v>1</v>
      </c>
    </row>
    <row r="65" spans="1:12" ht="30" customHeight="1" thickBot="1" x14ac:dyDescent="0.4">
      <c r="A65" s="1742" t="str">
        <f>WERKDOC!A31</f>
        <v>Minimaal aantal overige hulpverleners (exclusief de BLS-ploegen en de hulpverleners-ambulancier)</v>
      </c>
      <c r="B65" s="1743"/>
      <c r="C65" s="1744"/>
      <c r="D65" s="1118">
        <f>WERKDOC!B31</f>
        <v>0</v>
      </c>
      <c r="E65" s="1121"/>
      <c r="F65" s="344">
        <v>1</v>
      </c>
    </row>
    <row r="66" spans="1:12" ht="30.75" customHeight="1" x14ac:dyDescent="0.35">
      <c r="A66" s="1752" t="str">
        <f>WERKDOC!A32</f>
        <v>Opmerking : indien dit aantal gelijk is aan nul, betekent dit dat de hulpverlener-ambulancier naast het
eventuele transport ook instaat voor de globale hulpverlening.</v>
      </c>
      <c r="B66" s="1752"/>
      <c r="C66" s="1772">
        <f>WERKDOC!B32</f>
        <v>0</v>
      </c>
      <c r="D66" s="1113"/>
      <c r="F66" s="1116">
        <f>IF(D65=0,0,1)</f>
        <v>0</v>
      </c>
    </row>
    <row r="67" spans="1:12" ht="6.75" customHeight="1" thickBot="1" x14ac:dyDescent="0.4">
      <c r="A67" s="314"/>
      <c r="B67" s="314"/>
      <c r="C67" s="314"/>
      <c r="F67" s="344">
        <v>1</v>
      </c>
    </row>
    <row r="68" spans="1:12" ht="30" customHeight="1" x14ac:dyDescent="0.35">
      <c r="A68" s="1737" t="str">
        <f>WERKDOC!A34</f>
        <v>Mag de functie van hulpverlener-ambulancier en hulpverlener BLS gecombineerd worden</v>
      </c>
      <c r="B68" s="1738"/>
      <c r="C68" s="1739"/>
      <c r="D68" s="376" t="str">
        <f>IF(D64=0,"niet van toepassing","Maak uw keuze")</f>
        <v>niet van toepassing</v>
      </c>
      <c r="E68" s="315"/>
      <c r="F68" s="853">
        <f>IF(D68="ja",1,IF(D68="neen",1,0))</f>
        <v>0</v>
      </c>
      <c r="G68" s="1776"/>
      <c r="H68" s="1776"/>
      <c r="I68" s="1776"/>
      <c r="J68" s="1776"/>
      <c r="K68" s="1776"/>
      <c r="L68" s="1776"/>
    </row>
    <row r="69" spans="1:12" ht="30" customHeight="1" x14ac:dyDescent="0.35">
      <c r="A69" s="1737" t="str">
        <f>WERKDOC!A35</f>
        <v>Mag de functie van hulpverlener-ambulancier en hulpverlener in de hulppost gecombineerd worden</v>
      </c>
      <c r="B69" s="1738"/>
      <c r="C69" s="1739"/>
      <c r="D69" s="376" t="str">
        <f>IF(D64=0,"niet van toepassing","Maak uw keuze")</f>
        <v>niet van toepassing</v>
      </c>
      <c r="E69" s="315"/>
      <c r="F69" s="854">
        <f>IF(D69="ja",1,IF(D69="neen",1,0))</f>
        <v>0</v>
      </c>
      <c r="G69" s="1776"/>
      <c r="H69" s="1776"/>
      <c r="I69" s="1776"/>
      <c r="J69" s="1776"/>
      <c r="K69" s="1776"/>
      <c r="L69" s="1776"/>
    </row>
    <row r="70" spans="1:12" ht="30" customHeight="1" thickBot="1" x14ac:dyDescent="0.4">
      <c r="A70" s="1737" t="str">
        <f>WERKDOC!A36</f>
        <v>Mag de functie van hulpverlener-BLS en hulpverlener in de hulppost gecombineerd worden</v>
      </c>
      <c r="B70" s="1738"/>
      <c r="C70" s="1739"/>
      <c r="D70" s="376" t="str">
        <f>IF(D64=0,"niet van toepassing","Maak uw keuze")</f>
        <v>niet van toepassing</v>
      </c>
      <c r="E70" s="315"/>
      <c r="F70" s="855">
        <f>IF(D70="ja",1,IF(D70="neen",1,0))</f>
        <v>0</v>
      </c>
    </row>
    <row r="71" spans="1:12" ht="16" thickBot="1" x14ac:dyDescent="0.4">
      <c r="C71" s="324"/>
      <c r="F71" s="344">
        <v>1</v>
      </c>
    </row>
    <row r="72" spans="1:12" ht="45.75" customHeight="1" thickBot="1" x14ac:dyDescent="0.4">
      <c r="A72" s="1785" t="s">
        <v>470</v>
      </c>
      <c r="B72" s="1786"/>
      <c r="C72" s="1786"/>
      <c r="D72" s="1787"/>
      <c r="E72" s="866"/>
      <c r="F72" s="964">
        <v>1</v>
      </c>
    </row>
    <row r="73" spans="1:12" ht="9" customHeight="1" x14ac:dyDescent="0.35">
      <c r="A73" s="962"/>
      <c r="B73" s="962"/>
      <c r="C73" s="962"/>
      <c r="D73" s="866"/>
      <c r="E73" s="866"/>
      <c r="F73" s="344">
        <f>F72</f>
        <v>1</v>
      </c>
    </row>
    <row r="74" spans="1:12" x14ac:dyDescent="0.35">
      <c r="A74" s="322" t="s">
        <v>842</v>
      </c>
      <c r="B74" s="322"/>
      <c r="C74" s="322"/>
      <c r="F74" s="344">
        <v>1</v>
      </c>
    </row>
    <row r="75" spans="1:12" ht="8.25" customHeight="1" x14ac:dyDescent="0.35">
      <c r="C75" s="324"/>
      <c r="F75" s="344">
        <v>1</v>
      </c>
    </row>
    <row r="76" spans="1:12" ht="15" customHeight="1" x14ac:dyDescent="0.35">
      <c r="A76" s="1777" t="str">
        <f>WERKDOC!A38</f>
        <v>Minimale oppervlakte voor de hulppost</v>
      </c>
      <c r="B76" s="1778"/>
      <c r="C76" s="1779"/>
      <c r="D76" s="357">
        <f>WERKDOC!B38</f>
        <v>0</v>
      </c>
      <c r="E76" s="331"/>
      <c r="F76" s="344">
        <v>1</v>
      </c>
    </row>
    <row r="77" spans="1:12" ht="8.25" customHeight="1" x14ac:dyDescent="0.35">
      <c r="A77" s="314"/>
      <c r="B77" s="314"/>
      <c r="C77" s="314"/>
      <c r="D77" s="358"/>
      <c r="E77" s="332"/>
      <c r="F77" s="344">
        <v>1</v>
      </c>
    </row>
    <row r="78" spans="1:12" ht="23.25" customHeight="1" x14ac:dyDescent="0.35">
      <c r="A78" s="1777" t="str">
        <f>WERKDOC!A40</f>
        <v>Moet de hulpverlening verdeeld worden over meerdere hulpposten</v>
      </c>
      <c r="B78" s="1778"/>
      <c r="C78" s="1779"/>
      <c r="D78" s="376" t="s">
        <v>1540</v>
      </c>
      <c r="E78" s="315"/>
      <c r="F78" s="344">
        <v>1</v>
      </c>
    </row>
    <row r="79" spans="1:12" ht="8.25" customHeight="1" x14ac:dyDescent="0.35">
      <c r="F79" s="344">
        <v>1</v>
      </c>
    </row>
    <row r="80" spans="1:12" x14ac:dyDescent="0.35">
      <c r="A80" s="1780" t="s">
        <v>843</v>
      </c>
      <c r="B80" s="1780"/>
      <c r="C80" s="1780"/>
      <c r="F80" s="1053">
        <f>IF(D78="JA",1,0)</f>
        <v>0</v>
      </c>
      <c r="J80" s="929"/>
    </row>
    <row r="81" spans="1:10" ht="8.25" customHeight="1" x14ac:dyDescent="0.35">
      <c r="F81" s="1054">
        <f>F80</f>
        <v>0</v>
      </c>
      <c r="J81" s="929"/>
    </row>
    <row r="82" spans="1:10" x14ac:dyDescent="0.35">
      <c r="A82" s="321" t="s">
        <v>402</v>
      </c>
      <c r="B82" s="321"/>
      <c r="F82" s="344">
        <v>1</v>
      </c>
    </row>
    <row r="83" spans="1:10" ht="6.75" customHeight="1" thickBot="1" x14ac:dyDescent="0.4">
      <c r="F83" s="344">
        <v>1</v>
      </c>
    </row>
    <row r="84" spans="1:10" ht="16" thickBot="1" x14ac:dyDescent="0.4">
      <c r="A84" s="333" t="s">
        <v>1820</v>
      </c>
      <c r="B84" s="334" t="s">
        <v>1821</v>
      </c>
      <c r="C84" s="1758" t="s">
        <v>1822</v>
      </c>
      <c r="D84" s="1759"/>
      <c r="E84" s="316"/>
      <c r="F84" s="852">
        <v>1</v>
      </c>
    </row>
    <row r="85" spans="1:10" ht="16" thickBot="1" x14ac:dyDescent="0.4">
      <c r="A85" s="1041" t="s">
        <v>461</v>
      </c>
      <c r="B85" s="1042" t="s">
        <v>462</v>
      </c>
      <c r="C85" s="1760" t="s">
        <v>464</v>
      </c>
      <c r="D85" s="1761"/>
      <c r="E85" s="316"/>
      <c r="F85" s="363" t="e">
        <f>IF(INTERPRETATIE!$J$91=0,1,0)</f>
        <v>#DIV/0!</v>
      </c>
    </row>
    <row r="86" spans="1:10" x14ac:dyDescent="0.35">
      <c r="A86" s="335" t="s">
        <v>2312</v>
      </c>
      <c r="B86" s="336" t="s">
        <v>2092</v>
      </c>
      <c r="C86" s="1748" t="s">
        <v>2315</v>
      </c>
      <c r="D86" s="1749"/>
      <c r="E86" s="337"/>
      <c r="F86" s="363" t="e">
        <f>IF(INTERPRETATIE!$J$91=1,1,0)</f>
        <v>#DIV/0!</v>
      </c>
    </row>
    <row r="87" spans="1:10" ht="16" thickBot="1" x14ac:dyDescent="0.4">
      <c r="A87" s="338" t="s">
        <v>2312</v>
      </c>
      <c r="B87" s="339" t="s">
        <v>2092</v>
      </c>
      <c r="C87" s="1753" t="s">
        <v>2314</v>
      </c>
      <c r="D87" s="1754"/>
      <c r="E87" s="337"/>
      <c r="F87" s="364" t="e">
        <f>IF(INTERPRETATIE!$J$91=1,1,0)</f>
        <v>#DIV/0!</v>
      </c>
    </row>
    <row r="88" spans="1:10" x14ac:dyDescent="0.35">
      <c r="A88" s="340" t="s">
        <v>2316</v>
      </c>
      <c r="B88" s="341" t="s">
        <v>2321</v>
      </c>
      <c r="C88" s="1762" t="s">
        <v>2315</v>
      </c>
      <c r="D88" s="1763"/>
      <c r="E88" s="337"/>
      <c r="F88" s="364" t="e">
        <f>IF(INTERPRETATIE!$J$91=2,1,0)</f>
        <v>#DIV/0!</v>
      </c>
    </row>
    <row r="89" spans="1:10" x14ac:dyDescent="0.35">
      <c r="A89" s="335" t="s">
        <v>2316</v>
      </c>
      <c r="B89" s="336" t="s">
        <v>2321</v>
      </c>
      <c r="C89" s="1748" t="s">
        <v>2314</v>
      </c>
      <c r="D89" s="1749"/>
      <c r="E89" s="337"/>
      <c r="F89" s="364" t="e">
        <f>IF(INTERPRETATIE!$J$91=2,"1","0")</f>
        <v>#DIV/0!</v>
      </c>
    </row>
    <row r="90" spans="1:10" ht="16" thickBot="1" x14ac:dyDescent="0.4">
      <c r="A90" s="338" t="s">
        <v>2316</v>
      </c>
      <c r="B90" s="339" t="s">
        <v>2321</v>
      </c>
      <c r="C90" s="1753" t="s">
        <v>2322</v>
      </c>
      <c r="D90" s="1754"/>
      <c r="E90" s="337"/>
      <c r="F90" s="364" t="e">
        <f>IF(INTERPRETATIE!$J$91=2,"1","0")</f>
        <v>#DIV/0!</v>
      </c>
    </row>
    <row r="91" spans="1:10" x14ac:dyDescent="0.35">
      <c r="A91" s="340" t="s">
        <v>2323</v>
      </c>
      <c r="B91" s="341" t="s">
        <v>2324</v>
      </c>
      <c r="C91" s="1762" t="s">
        <v>2315</v>
      </c>
      <c r="D91" s="1763"/>
      <c r="E91" s="337"/>
      <c r="F91" s="364" t="e">
        <f>IF(INTERPRETATIE!$J$91=3,1,0)</f>
        <v>#DIV/0!</v>
      </c>
    </row>
    <row r="92" spans="1:10" x14ac:dyDescent="0.35">
      <c r="A92" s="335" t="s">
        <v>2323</v>
      </c>
      <c r="B92" s="336" t="s">
        <v>2324</v>
      </c>
      <c r="C92" s="1748" t="s">
        <v>2314</v>
      </c>
      <c r="D92" s="1749"/>
      <c r="E92" s="337"/>
      <c r="F92" s="364" t="e">
        <f>IF(INTERPRETATIE!$J$91=3,1,0)</f>
        <v>#DIV/0!</v>
      </c>
    </row>
    <row r="93" spans="1:10" x14ac:dyDescent="0.35">
      <c r="A93" s="335" t="s">
        <v>2323</v>
      </c>
      <c r="B93" s="336" t="s">
        <v>2324</v>
      </c>
      <c r="C93" s="1748" t="s">
        <v>2322</v>
      </c>
      <c r="D93" s="1749"/>
      <c r="E93" s="337"/>
      <c r="F93" s="364" t="e">
        <f>IF(INTERPRETATIE!$J$91=3,1,0)</f>
        <v>#DIV/0!</v>
      </c>
    </row>
    <row r="94" spans="1:10" x14ac:dyDescent="0.35">
      <c r="A94" s="335" t="s">
        <v>2323</v>
      </c>
      <c r="B94" s="336" t="s">
        <v>2324</v>
      </c>
      <c r="C94" s="1748" t="s">
        <v>2325</v>
      </c>
      <c r="D94" s="1749"/>
      <c r="E94" s="337"/>
      <c r="F94" s="364" t="e">
        <f>IF(INTERPRETATIE!$J$91=3,1,0)</f>
        <v>#DIV/0!</v>
      </c>
    </row>
    <row r="95" spans="1:10" x14ac:dyDescent="0.35">
      <c r="A95" s="335" t="s">
        <v>2323</v>
      </c>
      <c r="B95" s="336" t="s">
        <v>2324</v>
      </c>
      <c r="C95" s="1748" t="s">
        <v>533</v>
      </c>
      <c r="D95" s="1749"/>
      <c r="E95" s="337"/>
      <c r="F95" s="364" t="e">
        <f>IF(INTERPRETATIE!$J$91=3,1,0)</f>
        <v>#DIV/0!</v>
      </c>
    </row>
    <row r="96" spans="1:10" ht="16" thickBot="1" x14ac:dyDescent="0.4">
      <c r="A96" s="338" t="s">
        <v>2323</v>
      </c>
      <c r="B96" s="339" t="s">
        <v>2324</v>
      </c>
      <c r="C96" s="1753" t="s">
        <v>534</v>
      </c>
      <c r="D96" s="1754"/>
      <c r="E96" s="337"/>
      <c r="F96" s="364" t="e">
        <f>IF(INTERPRETATIE!$J$91=3,1,0)</f>
        <v>#DIV/0!</v>
      </c>
    </row>
    <row r="97" spans="1:14" ht="16" thickBot="1" x14ac:dyDescent="0.4">
      <c r="A97" s="1755" t="s">
        <v>2202</v>
      </c>
      <c r="B97" s="1756"/>
      <c r="C97" s="1756" t="e">
        <f>#REF!</f>
        <v>#REF!</v>
      </c>
      <c r="D97" s="1757" t="e">
        <f>#REF!</f>
        <v>#REF!</v>
      </c>
      <c r="F97" s="378" t="e">
        <f>IF(OR(F85=1,F86=1,F87=1,F88=1,F89=1,F90=1,F91=1,F92=1,F93=1,F94=1,F95=1,F96=1),0,1)</f>
        <v>#DIV/0!</v>
      </c>
    </row>
    <row r="98" spans="1:14" x14ac:dyDescent="0.35">
      <c r="F98" s="344">
        <v>1</v>
      </c>
    </row>
    <row r="99" spans="1:14" x14ac:dyDescent="0.35">
      <c r="A99" s="321" t="s">
        <v>403</v>
      </c>
      <c r="B99" s="321"/>
      <c r="F99" s="344">
        <v>1</v>
      </c>
    </row>
    <row r="100" spans="1:14" ht="6.75" customHeight="1" x14ac:dyDescent="0.35">
      <c r="F100" s="344">
        <v>1</v>
      </c>
    </row>
    <row r="101" spans="1:14" ht="15" customHeight="1" x14ac:dyDescent="0.35">
      <c r="A101" s="1737" t="str">
        <f>WERKDOC!A46</f>
        <v>Werd het aanvraagformulier met relevante informatie overgemaakt aan het HC100 (DOC 100)</v>
      </c>
      <c r="B101" s="1738"/>
      <c r="C101" s="1739"/>
      <c r="D101" s="355" t="str">
        <f>WERKDOC!B46</f>
        <v>NEEN</v>
      </c>
      <c r="E101" s="315"/>
      <c r="F101" s="344">
        <v>1</v>
      </c>
    </row>
    <row r="102" spans="1:14" ht="15" customHeight="1" x14ac:dyDescent="0.35">
      <c r="A102" s="1737" t="str">
        <f>WERKDOC!A47</f>
        <v>Werden de plannen van het terrein aan het HC100 overgemaakt</v>
      </c>
      <c r="B102" s="1738"/>
      <c r="C102" s="1739"/>
      <c r="D102" s="355" t="str">
        <f>WERKDOC!B47</f>
        <v>JA</v>
      </c>
      <c r="E102" s="315"/>
      <c r="F102" s="344">
        <v>1</v>
      </c>
    </row>
    <row r="103" spans="1:14" ht="9.75" customHeight="1" x14ac:dyDescent="0.35">
      <c r="A103" s="314"/>
      <c r="B103" s="314"/>
      <c r="C103" s="314"/>
      <c r="D103" s="358"/>
      <c r="E103" s="332"/>
      <c r="F103" s="344">
        <v>1</v>
      </c>
    </row>
    <row r="104" spans="1:14" ht="30" customHeight="1" x14ac:dyDescent="0.35">
      <c r="A104" s="1737" t="str">
        <f>WERKDOC!A49</f>
        <v>Datum wanneer het HC100 moet geïnformeerd worden indien het antwoord "NEEN" is op één der vragen</v>
      </c>
      <c r="B104" s="1738"/>
      <c r="C104" s="1739"/>
      <c r="D104" s="856">
        <f>'deel 2 brief'!C45</f>
        <v>-10</v>
      </c>
      <c r="E104" s="315"/>
      <c r="F104" s="344">
        <v>1</v>
      </c>
      <c r="G104" s="1765"/>
      <c r="H104" s="1765"/>
      <c r="I104" s="1765"/>
      <c r="J104" s="1765"/>
      <c r="K104" s="1765"/>
      <c r="L104" s="1765"/>
      <c r="M104" s="1765"/>
      <c r="N104" s="1765"/>
    </row>
    <row r="105" spans="1:14" x14ac:dyDescent="0.35">
      <c r="F105" s="344">
        <v>1</v>
      </c>
    </row>
    <row r="106" spans="1:14" ht="39" customHeight="1" x14ac:dyDescent="0.35">
      <c r="A106" s="1751" t="s">
        <v>844</v>
      </c>
      <c r="B106" s="1751"/>
      <c r="C106" s="1751"/>
      <c r="D106" s="1751"/>
      <c r="E106" s="319"/>
      <c r="F106" s="344">
        <v>1</v>
      </c>
    </row>
    <row r="107" spans="1:14" x14ac:dyDescent="0.35">
      <c r="F107" s="344">
        <v>1</v>
      </c>
    </row>
    <row r="108" spans="1:14" ht="75.75" customHeight="1" x14ac:dyDescent="0.35">
      <c r="A108" s="1766" t="s">
        <v>2094</v>
      </c>
      <c r="B108" s="1767"/>
      <c r="C108" s="1767"/>
      <c r="D108" s="1767"/>
      <c r="F108" s="344">
        <v>1</v>
      </c>
    </row>
    <row r="109" spans="1:14" x14ac:dyDescent="0.35">
      <c r="F109" s="344">
        <v>1</v>
      </c>
    </row>
    <row r="110" spans="1:14" ht="18" x14ac:dyDescent="0.35">
      <c r="A110" s="1736" t="s">
        <v>1481</v>
      </c>
      <c r="B110" s="1736"/>
      <c r="C110" s="1736"/>
      <c r="D110" s="1736"/>
      <c r="E110" s="865"/>
      <c r="F110" s="867">
        <v>1</v>
      </c>
      <c r="J110" s="929"/>
    </row>
    <row r="111" spans="1:14" x14ac:dyDescent="0.35">
      <c r="F111" s="344">
        <v>1</v>
      </c>
    </row>
    <row r="112" spans="1:14" x14ac:dyDescent="0.35">
      <c r="A112" s="321" t="s">
        <v>1482</v>
      </c>
      <c r="F112" s="344">
        <v>1</v>
      </c>
    </row>
    <row r="113" spans="1:10" x14ac:dyDescent="0.35">
      <c r="F113" s="344">
        <v>1</v>
      </c>
    </row>
    <row r="114" spans="1:10" x14ac:dyDescent="0.35">
      <c r="A114" s="1745" t="s">
        <v>1483</v>
      </c>
      <c r="B114" s="1747"/>
      <c r="C114" s="1604" t="str">
        <f>IF('LUIK 1 - AANVRAAG'!G25="","niet ingevuld",'LUIK 1 - AANVRAAG'!G25)</f>
        <v>niet ingevuld</v>
      </c>
      <c r="D114" s="1605"/>
      <c r="F114" s="344">
        <v>1</v>
      </c>
      <c r="J114" s="929"/>
    </row>
    <row r="115" spans="1:10" x14ac:dyDescent="0.35">
      <c r="A115" s="1745" t="s">
        <v>1484</v>
      </c>
      <c r="B115" s="1747"/>
      <c r="C115" s="1604" t="str">
        <f>IF('LUIK 1 - AANVRAAG'!G24="","niet ingevuld",'LUIK 1 - AANVRAAG'!G24)</f>
        <v>niet ingevuld</v>
      </c>
      <c r="D115" s="1605"/>
      <c r="F115" s="344">
        <v>1</v>
      </c>
      <c r="J115" s="929"/>
    </row>
    <row r="116" spans="1:10" ht="15" customHeight="1" x14ac:dyDescent="0.35">
      <c r="A116" s="1745" t="s">
        <v>438</v>
      </c>
      <c r="B116" s="1747"/>
      <c r="C116" s="1604" t="str">
        <f>IF('LUIK 1 - AANVRAAG'!G30="","niet ingevuld",'LUIK 1 - AANVRAAG'!G30)</f>
        <v>niet ingevuld</v>
      </c>
      <c r="D116" s="1605"/>
      <c r="F116" s="344">
        <v>1</v>
      </c>
      <c r="J116" s="929"/>
    </row>
    <row r="117" spans="1:10" x14ac:dyDescent="0.35">
      <c r="A117" s="1745" t="s">
        <v>437</v>
      </c>
      <c r="B117" s="1747"/>
      <c r="C117" s="1604" t="str">
        <f>IF('LUIK 1 - AANVRAAG'!G31="","niet ingevuld",'LUIK 1 - AANVRAAG'!G31)</f>
        <v>niet ingevuld</v>
      </c>
      <c r="D117" s="1605"/>
      <c r="F117" s="344">
        <v>1</v>
      </c>
      <c r="J117" s="929"/>
    </row>
    <row r="118" spans="1:10" x14ac:dyDescent="0.35">
      <c r="F118" s="344">
        <v>1</v>
      </c>
    </row>
    <row r="119" spans="1:10" x14ac:dyDescent="0.35">
      <c r="A119" s="321" t="s">
        <v>1485</v>
      </c>
      <c r="F119" s="344">
        <v>1</v>
      </c>
    </row>
    <row r="120" spans="1:10" x14ac:dyDescent="0.35">
      <c r="F120" s="344">
        <v>1</v>
      </c>
    </row>
    <row r="121" spans="1:10" x14ac:dyDescent="0.35">
      <c r="A121" s="1745" t="s">
        <v>1483</v>
      </c>
      <c r="B121" s="1747"/>
      <c r="C121" s="1774" t="str">
        <f>IF('LUIK 1 - AANVRAAG'!G34="","niet ingevuld",'LUIK 1 - AANVRAAG'!G34)</f>
        <v>niet ingevuld</v>
      </c>
      <c r="D121" s="1775"/>
      <c r="F121" s="344">
        <v>1</v>
      </c>
      <c r="J121" s="929"/>
    </row>
    <row r="122" spans="1:10" x14ac:dyDescent="0.35">
      <c r="A122" s="1745" t="s">
        <v>1484</v>
      </c>
      <c r="B122" s="1747"/>
      <c r="C122" s="1774" t="str">
        <f>IF('LUIK 1 - AANVRAAG'!G39="","niet ingevuld",'LUIK 1 - AANVRAAG'!G39)</f>
        <v>niet ingevuld</v>
      </c>
      <c r="D122" s="1775"/>
      <c r="F122" s="344">
        <v>1</v>
      </c>
      <c r="J122" s="929"/>
    </row>
    <row r="123" spans="1:10" x14ac:dyDescent="0.35">
      <c r="A123" s="1745" t="s">
        <v>438</v>
      </c>
      <c r="B123" s="1747"/>
      <c r="C123" s="1774" t="str">
        <f>IF('LUIK 1 - AANVRAAG'!G40="","niet ingevuld",'LUIK 1 - AANVRAAG'!G40)</f>
        <v>niet ingevuld</v>
      </c>
      <c r="D123" s="1775"/>
      <c r="F123" s="344">
        <v>1</v>
      </c>
      <c r="J123" s="929"/>
    </row>
    <row r="124" spans="1:10" x14ac:dyDescent="0.35">
      <c r="A124" s="1745" t="s">
        <v>437</v>
      </c>
      <c r="B124" s="1747"/>
      <c r="C124" s="1774" t="str">
        <f>IF('LUIK 1 - AANVRAAG'!G41="","niet ingevuld",'LUIK 1 - AANVRAAG'!G41)</f>
        <v>niet ingevuld</v>
      </c>
      <c r="D124" s="1775"/>
      <c r="F124" s="344">
        <v>1</v>
      </c>
      <c r="J124" s="929"/>
    </row>
    <row r="125" spans="1:10" x14ac:dyDescent="0.35">
      <c r="C125" s="866"/>
      <c r="D125" s="866"/>
      <c r="F125" s="344">
        <v>1</v>
      </c>
    </row>
    <row r="126" spans="1:10" x14ac:dyDescent="0.35">
      <c r="A126" s="321" t="s">
        <v>1486</v>
      </c>
      <c r="C126" s="866"/>
      <c r="D126" s="866"/>
      <c r="F126" s="320">
        <v>1</v>
      </c>
      <c r="J126" s="929"/>
    </row>
    <row r="127" spans="1:10" x14ac:dyDescent="0.35">
      <c r="C127" s="866"/>
      <c r="D127" s="866"/>
      <c r="F127" s="344">
        <v>1</v>
      </c>
    </row>
    <row r="128" spans="1:10" x14ac:dyDescent="0.35">
      <c r="A128" s="1745" t="s">
        <v>1921</v>
      </c>
      <c r="B128" s="1747"/>
      <c r="C128" s="1604" t="str">
        <f>IF('LUIK 1 - AANVRAAG'!G53="","niet ingevuld",'LUIK 1 - AANVRAAG'!G53)</f>
        <v>niet ingevuld</v>
      </c>
      <c r="D128" s="1605"/>
      <c r="F128" s="344">
        <v>1</v>
      </c>
      <c r="J128" s="929"/>
    </row>
    <row r="129" spans="1:10" x14ac:dyDescent="0.35">
      <c r="A129" s="1745" t="s">
        <v>1922</v>
      </c>
      <c r="B129" s="1747"/>
      <c r="C129" s="1604" t="str">
        <f>IF('LUIK 1 - AANVRAAG'!G55="","niet ingevuld",'LUIK 1 - AANVRAAG'!G55)</f>
        <v>niet ingevuld</v>
      </c>
      <c r="D129" s="1605"/>
      <c r="F129" s="344">
        <v>1</v>
      </c>
      <c r="J129" s="929"/>
    </row>
    <row r="130" spans="1:10" x14ac:dyDescent="0.35">
      <c r="F130" s="344">
        <f>IF(OR(F134=1,F135=1,F136=1,F137=1,F138=1),1,0)</f>
        <v>0</v>
      </c>
    </row>
    <row r="131" spans="1:10" x14ac:dyDescent="0.35">
      <c r="A131" s="1741" t="s">
        <v>1182</v>
      </c>
      <c r="B131" s="1741"/>
      <c r="C131" s="1741"/>
      <c r="F131" s="344">
        <f>IF(OR(F135=1,F136=1,F137=1,F138=1,F134=1),1,0)</f>
        <v>0</v>
      </c>
      <c r="J131" s="929"/>
    </row>
    <row r="132" spans="1:10" x14ac:dyDescent="0.35">
      <c r="A132" s="963"/>
      <c r="B132" s="963"/>
      <c r="C132" s="963"/>
      <c r="F132" s="344">
        <f>IF(OR(F136=1,F137=1,F138=1,F134=1,F135=1),1,0)</f>
        <v>0</v>
      </c>
      <c r="J132" s="929"/>
    </row>
    <row r="133" spans="1:10" x14ac:dyDescent="0.35">
      <c r="A133" s="1740" t="s">
        <v>2226</v>
      </c>
      <c r="B133" s="1740"/>
      <c r="C133" s="1181" t="s">
        <v>1183</v>
      </c>
      <c r="D133" s="1182" t="s">
        <v>461</v>
      </c>
      <c r="F133" s="344">
        <f>IF(OR(F137=1,F138=1,F134=1,F135=1,F136=1),1,0)</f>
        <v>0</v>
      </c>
    </row>
    <row r="134" spans="1:10" x14ac:dyDescent="0.35">
      <c r="A134" s="1648">
        <f>'LUIK 1 - AANVRAAG'!B46</f>
        <v>0</v>
      </c>
      <c r="B134" s="1648"/>
      <c r="C134" s="1180">
        <f>'LUIK 1 - AANVRAAG'!E46</f>
        <v>0</v>
      </c>
      <c r="D134" s="1113">
        <f>'LUIK 1 - AANVRAAG'!H46</f>
        <v>0</v>
      </c>
      <c r="F134" s="344">
        <f>IF(OR(A134="",A134=0),0,1)</f>
        <v>0</v>
      </c>
    </row>
    <row r="135" spans="1:10" x14ac:dyDescent="0.35">
      <c r="A135" s="1648">
        <f>'LUIK 1 - AANVRAAG'!B47</f>
        <v>0</v>
      </c>
      <c r="B135" s="1648"/>
      <c r="C135" s="1180">
        <f>'LUIK 1 - AANVRAAG'!E47</f>
        <v>0</v>
      </c>
      <c r="D135" s="1113">
        <f>'LUIK 1 - AANVRAAG'!H47</f>
        <v>0</v>
      </c>
      <c r="F135" s="344">
        <f>IF(OR(A135="",A135=0),0,1)</f>
        <v>0</v>
      </c>
    </row>
    <row r="136" spans="1:10" x14ac:dyDescent="0.35">
      <c r="A136" s="1648">
        <f>'LUIK 1 - AANVRAAG'!B48</f>
        <v>0</v>
      </c>
      <c r="B136" s="1648"/>
      <c r="C136" s="1180">
        <f>'LUIK 1 - AANVRAAG'!E48</f>
        <v>0</v>
      </c>
      <c r="D136" s="1113">
        <f>'LUIK 1 - AANVRAAG'!H48</f>
        <v>0</v>
      </c>
      <c r="F136" s="344">
        <f>IF(OR(A136="",A136=0),0,1)</f>
        <v>0</v>
      </c>
    </row>
    <row r="137" spans="1:10" x14ac:dyDescent="0.35">
      <c r="A137" s="1648">
        <f>'LUIK 1 - AANVRAAG'!B49</f>
        <v>0</v>
      </c>
      <c r="B137" s="1648"/>
      <c r="C137" s="1180">
        <f>'LUIK 1 - AANVRAAG'!E49</f>
        <v>0</v>
      </c>
      <c r="D137" s="1113">
        <f>'LUIK 1 - AANVRAAG'!H49</f>
        <v>0</v>
      </c>
      <c r="F137" s="344">
        <f>IF(OR(A137="",A137=0),0,1)</f>
        <v>0</v>
      </c>
    </row>
    <row r="138" spans="1:10" x14ac:dyDescent="0.35">
      <c r="A138" s="1648">
        <f>'LUIK 1 - AANVRAAG'!B50</f>
        <v>0</v>
      </c>
      <c r="B138" s="1648"/>
      <c r="C138" s="1180">
        <f>'LUIK 1 - AANVRAAG'!E50</f>
        <v>0</v>
      </c>
      <c r="D138" s="1113">
        <f>'LUIK 1 - AANVRAAG'!H50</f>
        <v>0</v>
      </c>
      <c r="F138" s="344">
        <f>IF(OR(A138="",A138=0),0,1)</f>
        <v>0</v>
      </c>
    </row>
    <row r="141" spans="1:10" x14ac:dyDescent="0.35">
      <c r="A141" s="324" t="str">
        <f>CIJFERS!C37</f>
        <v>Dr. W. Haenen</v>
      </c>
    </row>
    <row r="142" spans="1:10" x14ac:dyDescent="0.35">
      <c r="A142" s="324" t="str">
        <f>CIJFERS!C42</f>
        <v>Secretaris Provinciale Geneeskundige Commissie van Antwerpen</v>
      </c>
    </row>
    <row r="143" spans="1:10" x14ac:dyDescent="0.35">
      <c r="A143" s="324" t="str">
        <f>CIJFERS!C43</f>
        <v>Federaal Gezondheidsinspecteur voor de provincie Antwerpen</v>
      </c>
    </row>
    <row r="144" spans="1:10" x14ac:dyDescent="0.35">
      <c r="A144" s="324" t="str">
        <f>CIJFERS!C44</f>
        <v>Voorzitter Commissie Dringende Medische Hulpverlening van Antwerpen</v>
      </c>
    </row>
  </sheetData>
  <sheetProtection password="C534" sheet="1" objects="1" scenarios="1" autoFilter="0"/>
  <autoFilter ref="F30:F129" xr:uid="{00000000-0009-0000-0000-000012000000}"/>
  <mergeCells count="105">
    <mergeCell ref="A37:D37"/>
    <mergeCell ref="A38:D38"/>
    <mergeCell ref="A128:B128"/>
    <mergeCell ref="A129:B129"/>
    <mergeCell ref="C2:D2"/>
    <mergeCell ref="B1:D1"/>
    <mergeCell ref="A31:E31"/>
    <mergeCell ref="A72:D72"/>
    <mergeCell ref="A10:C10"/>
    <mergeCell ref="A17:C17"/>
    <mergeCell ref="A18:C18"/>
    <mergeCell ref="A19:C19"/>
    <mergeCell ref="C114:D114"/>
    <mergeCell ref="C115:D115"/>
    <mergeCell ref="C116:D116"/>
    <mergeCell ref="C117:D117"/>
    <mergeCell ref="A116:B116"/>
    <mergeCell ref="A117:B117"/>
    <mergeCell ref="A114:B114"/>
    <mergeCell ref="A115:B115"/>
    <mergeCell ref="C128:D128"/>
    <mergeCell ref="C129:D129"/>
    <mergeCell ref="A123:B123"/>
    <mergeCell ref="A124:B124"/>
    <mergeCell ref="C121:D121"/>
    <mergeCell ref="C122:D122"/>
    <mergeCell ref="C123:D123"/>
    <mergeCell ref="C124:D124"/>
    <mergeCell ref="A121:B121"/>
    <mergeCell ref="A122:B122"/>
    <mergeCell ref="G104:N104"/>
    <mergeCell ref="G68:L68"/>
    <mergeCell ref="G69:L69"/>
    <mergeCell ref="A110:D110"/>
    <mergeCell ref="C92:D92"/>
    <mergeCell ref="C91:D91"/>
    <mergeCell ref="A76:C76"/>
    <mergeCell ref="A78:C78"/>
    <mergeCell ref="A80:C80"/>
    <mergeCell ref="A104:C104"/>
    <mergeCell ref="A47:D47"/>
    <mergeCell ref="A48:D48"/>
    <mergeCell ref="H47:I47"/>
    <mergeCell ref="H48:I48"/>
    <mergeCell ref="K51:Q51"/>
    <mergeCell ref="C89:D89"/>
    <mergeCell ref="C90:D90"/>
    <mergeCell ref="A108:D108"/>
    <mergeCell ref="A5:D5"/>
    <mergeCell ref="C6:D6"/>
    <mergeCell ref="A6:B6"/>
    <mergeCell ref="A66:C66"/>
    <mergeCell ref="A11:C11"/>
    <mergeCell ref="A7:C7"/>
    <mergeCell ref="A8:C8"/>
    <mergeCell ref="A9:C9"/>
    <mergeCell ref="A26:C26"/>
    <mergeCell ref="A25:C25"/>
    <mergeCell ref="A42:D42"/>
    <mergeCell ref="A46:D46"/>
    <mergeCell ref="A43:D43"/>
    <mergeCell ref="A44:D44"/>
    <mergeCell ref="A45:D45"/>
    <mergeCell ref="A41:D41"/>
    <mergeCell ref="A62:C62"/>
    <mergeCell ref="A64:C64"/>
    <mergeCell ref="A65:C65"/>
    <mergeCell ref="A63:C63"/>
    <mergeCell ref="A57:C57"/>
    <mergeCell ref="A58:C58"/>
    <mergeCell ref="A101:C101"/>
    <mergeCell ref="A102:C102"/>
    <mergeCell ref="C93:D93"/>
    <mergeCell ref="C94:D94"/>
    <mergeCell ref="C95:D95"/>
    <mergeCell ref="C96:D96"/>
    <mergeCell ref="A97:D97"/>
    <mergeCell ref="C84:D84"/>
    <mergeCell ref="C85:D85"/>
    <mergeCell ref="C87:D87"/>
    <mergeCell ref="C88:D88"/>
    <mergeCell ref="A4:D4"/>
    <mergeCell ref="A13:D13"/>
    <mergeCell ref="A69:C69"/>
    <mergeCell ref="A70:C70"/>
    <mergeCell ref="A56:C56"/>
    <mergeCell ref="A137:B137"/>
    <mergeCell ref="A138:B138"/>
    <mergeCell ref="A133:B133"/>
    <mergeCell ref="A131:C131"/>
    <mergeCell ref="A134:B134"/>
    <mergeCell ref="A135:B135"/>
    <mergeCell ref="A136:B136"/>
    <mergeCell ref="A27:C27"/>
    <mergeCell ref="A28:C28"/>
    <mergeCell ref="A50:D50"/>
    <mergeCell ref="A68:C68"/>
    <mergeCell ref="A40:D40"/>
    <mergeCell ref="A35:D35"/>
    <mergeCell ref="A36:D36"/>
    <mergeCell ref="A39:D39"/>
    <mergeCell ref="C86:D86"/>
    <mergeCell ref="A29:C29"/>
    <mergeCell ref="A49:D49"/>
    <mergeCell ref="A106:D106"/>
  </mergeCells>
  <phoneticPr fontId="2" type="noConversion"/>
  <dataValidations disablePrompts="1" count="1">
    <dataValidation type="list" allowBlank="1" showInputMessage="1" showErrorMessage="1" sqref="D78 D68:D70" xr:uid="{00000000-0002-0000-1200-000000000000}">
      <formula1>"Maak uw keuze,NEEN,JA,niet van toepassing"</formula1>
    </dataValidation>
  </dataValidations>
  <pageMargins left="0.57999999999999996" right="0.5" top="0.94" bottom="0.67" header="0.23" footer="0.27"/>
  <pageSetup paperSize="9" scale="90" orientation="portrait" verticalDpi="2" r:id="rId1"/>
  <headerFooter alignWithMargins="0">
    <oddHeader>&amp;L&amp;G&amp;R&amp;F
&amp;"Arial,Gras"&amp;12FOD Volksgezondheid, Veiligheid van de voedselketen en leefmilieu</oddHeader>
    <oddFooter>&amp;R&amp;P/&amp;N 
Datum outprint : &amp;D</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tabColor indexed="10"/>
  </sheetPr>
  <dimension ref="A1:T140"/>
  <sheetViews>
    <sheetView topLeftCell="A10" zoomScale="85" zoomScaleNormal="85" workbookViewId="0">
      <selection activeCell="G62" sqref="G62:K62"/>
    </sheetView>
  </sheetViews>
  <sheetFormatPr defaultRowHeight="12.5" x14ac:dyDescent="0.25"/>
  <cols>
    <col min="1" max="1" width="2.453125" customWidth="1"/>
    <col min="2" max="2" width="15.1796875" customWidth="1"/>
    <col min="3" max="3" width="3.1796875" customWidth="1"/>
    <col min="4" max="4" width="14.453125" bestFit="1" customWidth="1"/>
    <col min="5" max="5" width="18.54296875" customWidth="1"/>
    <col min="6" max="6" width="1.7265625" customWidth="1"/>
    <col min="7" max="7" width="41.1796875" customWidth="1"/>
    <col min="8" max="8" width="3.26953125" customWidth="1"/>
    <col min="9" max="9" width="10.7265625" customWidth="1"/>
    <col min="10" max="10" width="6.81640625" customWidth="1"/>
    <col min="11" max="11" width="10.81640625" customWidth="1"/>
    <col min="12" max="12" width="5.1796875" customWidth="1"/>
    <col min="13" max="13" width="19.54296875" bestFit="1" customWidth="1"/>
    <col min="14" max="14" width="53.7265625" bestFit="1" customWidth="1"/>
    <col min="15" max="15" width="52.453125" bestFit="1" customWidth="1"/>
    <col min="16" max="16" width="13.7265625" style="293" bestFit="1" customWidth="1"/>
    <col min="17" max="17" width="10.26953125" style="293" bestFit="1" customWidth="1"/>
    <col min="18" max="18" width="9.1796875" style="293"/>
    <col min="19" max="19" width="16.7265625" bestFit="1" customWidth="1"/>
  </cols>
  <sheetData>
    <row r="1" spans="1:20" ht="36" customHeight="1" thickBot="1" x14ac:dyDescent="0.4">
      <c r="A1" s="1345" t="s">
        <v>2232</v>
      </c>
      <c r="B1" s="1346"/>
      <c r="C1" s="1346"/>
      <c r="D1" s="1346"/>
      <c r="E1" s="1346"/>
      <c r="F1" s="1346"/>
      <c r="G1" s="1346"/>
      <c r="H1" s="1346"/>
      <c r="I1" s="1346"/>
      <c r="J1" s="1346"/>
      <c r="K1" s="1347"/>
      <c r="L1" s="178"/>
      <c r="M1" s="178"/>
      <c r="N1" s="178"/>
      <c r="O1" s="178"/>
    </row>
    <row r="2" spans="1:20" ht="6" customHeight="1" thickBot="1" x14ac:dyDescent="0.3">
      <c r="A2" s="178"/>
      <c r="B2" s="178"/>
      <c r="C2" s="178"/>
      <c r="D2" s="178"/>
      <c r="E2" s="178"/>
      <c r="F2" s="178"/>
      <c r="G2" s="178"/>
      <c r="H2" s="178"/>
      <c r="I2" s="178"/>
      <c r="J2" s="178"/>
      <c r="K2" s="178"/>
      <c r="L2" s="178"/>
      <c r="M2" s="178"/>
      <c r="N2" s="178"/>
      <c r="O2" s="178"/>
    </row>
    <row r="3" spans="1:20" ht="19.5" customHeight="1" thickBot="1" x14ac:dyDescent="0.3">
      <c r="A3" s="1327" t="s">
        <v>2085</v>
      </c>
      <c r="B3" s="1328"/>
      <c r="C3" s="1328"/>
      <c r="D3" s="1328"/>
      <c r="E3" s="1328"/>
      <c r="F3" s="3"/>
      <c r="G3" s="1317"/>
      <c r="H3" s="1318"/>
      <c r="I3" s="1318"/>
      <c r="J3" s="1318"/>
      <c r="K3" s="1319"/>
      <c r="L3" s="178"/>
      <c r="M3" s="506" t="s">
        <v>1019</v>
      </c>
      <c r="N3" s="178"/>
      <c r="O3" s="178"/>
      <c r="P3" s="810" t="s">
        <v>355</v>
      </c>
      <c r="Q3" s="810" t="s">
        <v>141</v>
      </c>
      <c r="R3" s="810" t="s">
        <v>143</v>
      </c>
      <c r="S3" s="810" t="s">
        <v>144</v>
      </c>
      <c r="T3" s="810" t="s">
        <v>142</v>
      </c>
    </row>
    <row r="4" spans="1:20" ht="15.5" x14ac:dyDescent="0.25">
      <c r="A4" s="1356" t="s">
        <v>220</v>
      </c>
      <c r="B4" s="1357"/>
      <c r="C4" s="1357"/>
      <c r="D4" s="1357"/>
      <c r="E4" s="1357"/>
      <c r="F4" s="4"/>
      <c r="G4" s="1320"/>
      <c r="H4" s="1321"/>
      <c r="I4" s="1321"/>
      <c r="J4" s="1321"/>
      <c r="K4" s="1322"/>
      <c r="L4" s="178"/>
      <c r="M4" s="178"/>
      <c r="N4" s="178"/>
      <c r="O4" s="178"/>
      <c r="P4" s="811"/>
      <c r="Q4" s="812"/>
      <c r="R4" s="811"/>
      <c r="S4" s="811"/>
      <c r="T4" s="811"/>
    </row>
    <row r="5" spans="1:20" ht="16" thickBot="1" x14ac:dyDescent="0.3">
      <c r="A5" s="1349" t="s">
        <v>174</v>
      </c>
      <c r="B5" s="1284"/>
      <c r="C5" s="1284"/>
      <c r="D5" s="1284"/>
      <c r="E5" s="1285"/>
      <c r="F5" s="4"/>
      <c r="G5" s="1335"/>
      <c r="H5" s="1336"/>
      <c r="I5" s="1336"/>
      <c r="J5" s="1336"/>
      <c r="K5" s="1337"/>
      <c r="L5" s="178"/>
      <c r="M5" s="178"/>
      <c r="N5" s="178"/>
      <c r="O5" s="178"/>
      <c r="P5" s="811">
        <f>C9-C8</f>
        <v>0</v>
      </c>
      <c r="Q5" s="812">
        <f>G9-G8</f>
        <v>0</v>
      </c>
      <c r="R5" s="811">
        <f>P5*24</f>
        <v>0</v>
      </c>
      <c r="S5" s="811">
        <f>Q5*24</f>
        <v>0</v>
      </c>
      <c r="T5" s="811">
        <f>SUM(R5:S5)</f>
        <v>0</v>
      </c>
    </row>
    <row r="6" spans="1:20" ht="12" customHeight="1" thickBot="1" x14ac:dyDescent="0.35">
      <c r="A6" s="1349" t="s">
        <v>200</v>
      </c>
      <c r="B6" s="1284"/>
      <c r="C6" s="1284"/>
      <c r="D6" s="1284"/>
      <c r="E6" s="1285"/>
      <c r="F6" s="4"/>
      <c r="G6" s="1352" t="s">
        <v>1540</v>
      </c>
      <c r="H6" s="1353"/>
      <c r="I6" s="1353"/>
      <c r="J6" s="1353"/>
      <c r="K6" s="1354"/>
      <c r="L6" s="178"/>
      <c r="M6" s="1361" t="s">
        <v>2279</v>
      </c>
      <c r="N6" s="1362"/>
      <c r="O6" s="178"/>
    </row>
    <row r="7" spans="1:20" ht="13.5" thickBot="1" x14ac:dyDescent="0.35">
      <c r="A7" s="1350" t="s">
        <v>764</v>
      </c>
      <c r="B7" s="1351"/>
      <c r="C7" s="1351"/>
      <c r="D7" s="1351"/>
      <c r="E7" s="1351"/>
      <c r="F7" s="4"/>
      <c r="G7" s="1325"/>
      <c r="H7" s="1326"/>
      <c r="I7" s="813" t="s">
        <v>2081</v>
      </c>
      <c r="J7" s="1323"/>
      <c r="K7" s="1324"/>
      <c r="L7" s="293"/>
      <c r="M7" s="766" t="s">
        <v>1986</v>
      </c>
      <c r="N7" s="767" t="s">
        <v>2277</v>
      </c>
      <c r="O7" s="178"/>
    </row>
    <row r="8" spans="1:20" ht="12.75" customHeight="1" x14ac:dyDescent="0.3">
      <c r="A8" s="1341" t="s">
        <v>356</v>
      </c>
      <c r="B8" s="1328"/>
      <c r="C8" s="1342">
        <f>$G$4</f>
        <v>0</v>
      </c>
      <c r="D8" s="1343"/>
      <c r="E8" s="1328" t="s">
        <v>357</v>
      </c>
      <c r="F8" s="1328"/>
      <c r="G8" s="816"/>
      <c r="H8" s="817"/>
      <c r="I8" s="1365" t="s">
        <v>766</v>
      </c>
      <c r="J8" s="1365"/>
      <c r="K8" s="814">
        <f>IF(K9&lt;&gt;0,K9,IF(C8&lt;&gt;"00/00/0000",T5))</f>
        <v>0</v>
      </c>
      <c r="L8" s="178"/>
      <c r="M8" s="696" t="s">
        <v>1985</v>
      </c>
      <c r="N8" s="703" t="s">
        <v>2278</v>
      </c>
      <c r="O8" s="178"/>
    </row>
    <row r="9" spans="1:20" ht="12.75" customHeight="1" thickBot="1" x14ac:dyDescent="0.35">
      <c r="A9" s="1358" t="s">
        <v>358</v>
      </c>
      <c r="B9" s="1277"/>
      <c r="C9" s="1359"/>
      <c r="D9" s="1360"/>
      <c r="E9" s="1277" t="s">
        <v>359</v>
      </c>
      <c r="F9" s="1277"/>
      <c r="G9" s="818"/>
      <c r="H9" s="819"/>
      <c r="I9" s="1366"/>
      <c r="J9" s="1366"/>
      <c r="K9" s="815"/>
      <c r="L9" s="178"/>
      <c r="M9" s="697" t="s">
        <v>2269</v>
      </c>
      <c r="N9" s="703" t="s">
        <v>2270</v>
      </c>
      <c r="O9" s="178"/>
    </row>
    <row r="10" spans="1:20" ht="12.75" customHeight="1" x14ac:dyDescent="0.3">
      <c r="A10" s="1374" t="s">
        <v>360</v>
      </c>
      <c r="B10" s="1375"/>
      <c r="C10" s="1375"/>
      <c r="D10" s="1375"/>
      <c r="E10" s="1375"/>
      <c r="F10" s="1173"/>
      <c r="G10" s="1174"/>
      <c r="H10" s="817"/>
      <c r="I10" s="1175"/>
      <c r="J10" s="1175"/>
      <c r="K10" s="1176"/>
      <c r="L10" s="178"/>
      <c r="M10" s="698" t="s">
        <v>2271</v>
      </c>
      <c r="N10" s="703" t="s">
        <v>2272</v>
      </c>
      <c r="O10" s="178"/>
    </row>
    <row r="11" spans="1:20" ht="13" x14ac:dyDescent="0.3">
      <c r="A11" s="5"/>
      <c r="B11" s="4"/>
      <c r="C11" s="4"/>
      <c r="D11" s="4"/>
      <c r="E11" s="4"/>
      <c r="F11" s="4"/>
      <c r="G11" s="4"/>
      <c r="H11" s="4"/>
      <c r="I11" s="4"/>
      <c r="J11" s="4"/>
      <c r="K11" s="6"/>
      <c r="L11" s="178"/>
      <c r="M11" s="699" t="s">
        <v>2273</v>
      </c>
      <c r="N11" s="703" t="s">
        <v>2274</v>
      </c>
      <c r="O11" s="178"/>
    </row>
    <row r="12" spans="1:20" ht="13" x14ac:dyDescent="0.3">
      <c r="A12" s="1338" t="s">
        <v>162</v>
      </c>
      <c r="B12" s="1339"/>
      <c r="C12" s="1339"/>
      <c r="D12" s="1339"/>
      <c r="E12" s="1339"/>
      <c r="F12" s="1339"/>
      <c r="G12" s="1340"/>
      <c r="H12" s="176"/>
      <c r="I12" s="1372" t="s">
        <v>2329</v>
      </c>
      <c r="J12" s="1373"/>
      <c r="K12" s="177"/>
      <c r="L12" s="178"/>
      <c r="M12" s="768" t="s">
        <v>2275</v>
      </c>
      <c r="N12" s="703" t="s">
        <v>2276</v>
      </c>
      <c r="O12" s="178"/>
    </row>
    <row r="13" spans="1:20" ht="13.5" thickBot="1" x14ac:dyDescent="0.35">
      <c r="A13" s="5"/>
      <c r="B13" s="4"/>
      <c r="C13" s="4"/>
      <c r="D13" s="4"/>
      <c r="E13" s="4"/>
      <c r="F13" s="4"/>
      <c r="G13" s="4"/>
      <c r="H13" s="4"/>
      <c r="I13" s="4"/>
      <c r="J13" s="4"/>
      <c r="K13" s="6"/>
      <c r="L13" s="178"/>
      <c r="M13" s="769" t="s">
        <v>1838</v>
      </c>
      <c r="N13" s="770" t="s">
        <v>1839</v>
      </c>
      <c r="O13" s="178"/>
    </row>
    <row r="14" spans="1:20" ht="13.5" thickBot="1" x14ac:dyDescent="0.35">
      <c r="A14" s="1355" t="s">
        <v>221</v>
      </c>
      <c r="B14" s="1306"/>
      <c r="C14" s="297" t="s">
        <v>767</v>
      </c>
      <c r="D14" s="1306" t="s">
        <v>2216</v>
      </c>
      <c r="E14" s="1306"/>
      <c r="F14" s="1306"/>
      <c r="G14" s="1306"/>
      <c r="H14" s="7"/>
      <c r="I14" s="507"/>
      <c r="J14" s="4"/>
      <c r="K14" s="6"/>
      <c r="L14" s="178"/>
      <c r="M14" s="1363" t="s">
        <v>1845</v>
      </c>
      <c r="N14" s="1364"/>
      <c r="O14" s="178"/>
    </row>
    <row r="15" spans="1:20" x14ac:dyDescent="0.25">
      <c r="A15" s="5"/>
      <c r="B15" s="4"/>
      <c r="C15" s="297" t="s">
        <v>2217</v>
      </c>
      <c r="D15" s="1306" t="s">
        <v>2218</v>
      </c>
      <c r="E15" s="1306"/>
      <c r="F15" s="1306"/>
      <c r="G15" s="1306"/>
      <c r="H15" s="7"/>
      <c r="I15" s="692">
        <v>0</v>
      </c>
      <c r="J15" s="4"/>
      <c r="K15" s="691" t="s">
        <v>1127</v>
      </c>
      <c r="L15" s="178"/>
      <c r="M15" s="178"/>
      <c r="N15" s="178"/>
      <c r="O15" s="178"/>
    </row>
    <row r="16" spans="1:20" ht="13" x14ac:dyDescent="0.3">
      <c r="A16" s="5"/>
      <c r="B16" s="4"/>
      <c r="C16" s="687" t="s">
        <v>2219</v>
      </c>
      <c r="D16" s="1306" t="s">
        <v>2220</v>
      </c>
      <c r="E16" s="1306"/>
      <c r="F16" s="1306"/>
      <c r="G16" s="1306"/>
      <c r="H16" s="4"/>
      <c r="I16" s="692">
        <v>100</v>
      </c>
      <c r="J16" s="4"/>
      <c r="K16" s="691" t="s">
        <v>1127</v>
      </c>
      <c r="L16" s="178"/>
      <c r="M16" s="178"/>
      <c r="N16" s="804"/>
      <c r="O16" s="804"/>
    </row>
    <row r="17" spans="1:18" s="1172" customFormat="1" ht="13.5" customHeight="1" x14ac:dyDescent="0.25">
      <c r="A17" s="5"/>
      <c r="B17" s="4"/>
      <c r="C17" s="297" t="s">
        <v>2221</v>
      </c>
      <c r="D17" s="1308" t="s">
        <v>163</v>
      </c>
      <c r="E17" s="1309"/>
      <c r="F17" s="1309"/>
      <c r="G17" s="1310"/>
      <c r="H17" s="7"/>
      <c r="I17" s="507">
        <v>0</v>
      </c>
      <c r="J17" s="4"/>
      <c r="K17" s="6"/>
      <c r="L17" s="293"/>
      <c r="M17" s="293"/>
      <c r="N17" s="843"/>
      <c r="O17" s="807"/>
      <c r="P17" s="293"/>
      <c r="Q17" s="293"/>
      <c r="R17" s="293"/>
    </row>
    <row r="18" spans="1:18" ht="12.75" customHeight="1" x14ac:dyDescent="0.3">
      <c r="A18" s="5"/>
      <c r="B18" s="4"/>
      <c r="C18" s="297" t="s">
        <v>2222</v>
      </c>
      <c r="D18" s="1306" t="s">
        <v>164</v>
      </c>
      <c r="E18" s="1306"/>
      <c r="F18" s="1306"/>
      <c r="G18" s="1306"/>
      <c r="H18" s="7"/>
      <c r="I18" s="692">
        <v>0</v>
      </c>
      <c r="J18" s="4"/>
      <c r="K18" s="691" t="s">
        <v>1127</v>
      </c>
      <c r="L18" s="178"/>
      <c r="M18" s="178"/>
      <c r="N18" s="809"/>
      <c r="O18" s="805"/>
      <c r="P18" s="804"/>
      <c r="Q18" s="804"/>
    </row>
    <row r="19" spans="1:18" ht="13" x14ac:dyDescent="0.3">
      <c r="A19" s="5"/>
      <c r="B19" s="4"/>
      <c r="C19" s="178"/>
      <c r="D19" s="178"/>
      <c r="E19" s="178"/>
      <c r="F19" s="178"/>
      <c r="G19" s="178"/>
      <c r="H19" s="178"/>
      <c r="I19" s="178"/>
      <c r="J19" s="4"/>
      <c r="K19" s="178"/>
      <c r="L19" s="178"/>
      <c r="M19" s="178"/>
      <c r="N19" s="809"/>
      <c r="O19" s="805"/>
      <c r="P19" s="807"/>
      <c r="Q19" s="807"/>
    </row>
    <row r="20" spans="1:18" ht="13" x14ac:dyDescent="0.3">
      <c r="A20" s="5"/>
      <c r="B20" s="4"/>
      <c r="C20" s="297" t="s">
        <v>2223</v>
      </c>
      <c r="D20" s="1308" t="s">
        <v>1904</v>
      </c>
      <c r="E20" s="1309"/>
      <c r="F20" s="1309"/>
      <c r="G20" s="1310"/>
      <c r="H20" s="7"/>
      <c r="I20" s="311"/>
      <c r="J20" s="4" t="s">
        <v>199</v>
      </c>
      <c r="K20" s="6"/>
      <c r="L20" s="178"/>
      <c r="M20" s="178"/>
      <c r="N20" s="809"/>
      <c r="O20" s="805"/>
      <c r="P20" s="805"/>
      <c r="Q20" s="805"/>
    </row>
    <row r="21" spans="1:18" ht="12.75" customHeight="1" x14ac:dyDescent="0.25">
      <c r="A21" s="5"/>
      <c r="B21" s="4"/>
      <c r="C21" s="687" t="s">
        <v>2224</v>
      </c>
      <c r="D21" s="1348" t="s">
        <v>165</v>
      </c>
      <c r="E21" s="1348"/>
      <c r="F21" s="1306"/>
      <c r="G21" s="1348"/>
      <c r="H21" s="7"/>
      <c r="I21" s="7"/>
      <c r="J21" s="4"/>
      <c r="K21" s="834">
        <f>IF('LUIK3 + SCORE'!I72=1,(SUM(I14:I17)-I18)*(I20/100)*CIJFERS!D21,(SUM(I14:I17)-I18)*(I20/100))</f>
        <v>0</v>
      </c>
      <c r="L21" s="178"/>
      <c r="M21" s="695"/>
      <c r="N21" s="844"/>
      <c r="O21" s="805"/>
      <c r="P21" s="805"/>
      <c r="Q21" s="805"/>
    </row>
    <row r="22" spans="1:18" ht="14.25" customHeight="1" x14ac:dyDescent="0.3">
      <c r="A22" s="1329" t="s">
        <v>1709</v>
      </c>
      <c r="B22" s="1330"/>
      <c r="C22" s="1330"/>
      <c r="D22" s="1330"/>
      <c r="E22" s="1331"/>
      <c r="F22" s="4"/>
      <c r="G22" s="1314" t="s">
        <v>2329</v>
      </c>
      <c r="H22" s="1314"/>
      <c r="I22" s="1314"/>
      <c r="J22" s="1314"/>
      <c r="K22" s="1314"/>
      <c r="L22" s="178"/>
      <c r="M22" s="178"/>
      <c r="N22" s="809"/>
      <c r="O22" s="805"/>
      <c r="P22" s="805"/>
      <c r="Q22" s="805"/>
    </row>
    <row r="23" spans="1:18" ht="13" x14ac:dyDescent="0.3">
      <c r="A23" s="1332" t="s">
        <v>2225</v>
      </c>
      <c r="B23" s="1309"/>
      <c r="C23" s="1309"/>
      <c r="D23" s="1309"/>
      <c r="E23" s="1309"/>
      <c r="F23" s="1309"/>
      <c r="G23" s="1333"/>
      <c r="H23" s="1333"/>
      <c r="I23" s="1333"/>
      <c r="J23" s="1333"/>
      <c r="K23" s="1334"/>
      <c r="L23" s="178"/>
      <c r="M23" s="178"/>
      <c r="N23" s="925"/>
      <c r="O23" s="805"/>
      <c r="P23" s="805"/>
      <c r="Q23" s="805"/>
    </row>
    <row r="24" spans="1:18" ht="13" x14ac:dyDescent="0.3">
      <c r="A24" s="868"/>
      <c r="B24" s="1308" t="s">
        <v>1484</v>
      </c>
      <c r="C24" s="1309"/>
      <c r="D24" s="1309"/>
      <c r="E24" s="1310"/>
      <c r="F24" s="7"/>
      <c r="G24" s="1314"/>
      <c r="H24" s="1314"/>
      <c r="I24" s="1314"/>
      <c r="J24" s="1314"/>
      <c r="K24" s="1315"/>
      <c r="L24" s="178"/>
      <c r="M24" s="178"/>
      <c r="N24" s="925"/>
      <c r="O24" s="805"/>
      <c r="P24" s="805"/>
      <c r="Q24" s="805"/>
    </row>
    <row r="25" spans="1:18" ht="13" x14ac:dyDescent="0.3">
      <c r="A25" s="5"/>
      <c r="B25" s="1307" t="s">
        <v>2226</v>
      </c>
      <c r="C25" s="1307"/>
      <c r="D25" s="1307"/>
      <c r="E25" s="1307"/>
      <c r="F25" s="4"/>
      <c r="G25" s="1314"/>
      <c r="H25" s="1314"/>
      <c r="I25" s="1314"/>
      <c r="J25" s="1314"/>
      <c r="K25" s="1315"/>
      <c r="L25" s="178"/>
      <c r="M25" s="178"/>
      <c r="N25" s="925"/>
      <c r="O25" s="805"/>
    </row>
    <row r="26" spans="1:18" ht="13" x14ac:dyDescent="0.3">
      <c r="A26" s="5"/>
      <c r="B26" s="1306" t="s">
        <v>2227</v>
      </c>
      <c r="C26" s="1306"/>
      <c r="D26" s="1306"/>
      <c r="E26" s="1306"/>
      <c r="F26" s="4"/>
      <c r="G26" s="1314"/>
      <c r="H26" s="1314"/>
      <c r="I26" s="1314"/>
      <c r="J26" s="1314"/>
      <c r="K26" s="1315"/>
      <c r="L26" s="178"/>
      <c r="M26" s="293"/>
      <c r="N26" s="925"/>
      <c r="O26" s="805"/>
      <c r="P26" s="805"/>
      <c r="Q26" s="805"/>
    </row>
    <row r="27" spans="1:18" ht="13" x14ac:dyDescent="0.3">
      <c r="A27" s="5"/>
      <c r="B27" s="1308" t="s">
        <v>161</v>
      </c>
      <c r="C27" s="1309"/>
      <c r="D27" s="1309"/>
      <c r="E27" s="1310"/>
      <c r="F27" s="4"/>
      <c r="G27" s="1314"/>
      <c r="H27" s="1314"/>
      <c r="I27" s="1314"/>
      <c r="J27" s="1314"/>
      <c r="K27" s="1315"/>
      <c r="L27" s="178"/>
      <c r="M27" s="293"/>
      <c r="N27" s="925"/>
      <c r="O27" s="805"/>
      <c r="P27" s="805"/>
      <c r="Q27" s="805"/>
    </row>
    <row r="28" spans="1:18" ht="13" x14ac:dyDescent="0.3">
      <c r="A28" s="5"/>
      <c r="B28" s="1308" t="s">
        <v>1128</v>
      </c>
      <c r="C28" s="1309"/>
      <c r="D28" s="1309"/>
      <c r="E28" s="1310"/>
      <c r="F28" s="4"/>
      <c r="G28" s="1314"/>
      <c r="H28" s="1314"/>
      <c r="I28" s="1314"/>
      <c r="J28" s="1314"/>
      <c r="K28" s="1315"/>
      <c r="L28" s="178"/>
      <c r="M28" s="293"/>
      <c r="N28" s="809"/>
      <c r="O28" s="805"/>
    </row>
    <row r="29" spans="1:18" ht="13" x14ac:dyDescent="0.3">
      <c r="A29" s="5"/>
      <c r="B29" s="1308" t="s">
        <v>361</v>
      </c>
      <c r="C29" s="1309"/>
      <c r="D29" s="1309"/>
      <c r="E29" s="1310"/>
      <c r="F29" s="4"/>
      <c r="G29" s="1314"/>
      <c r="H29" s="1314"/>
      <c r="I29" s="1314"/>
      <c r="J29" s="1314"/>
      <c r="K29" s="1315"/>
      <c r="L29" s="178"/>
      <c r="M29" s="178"/>
      <c r="N29" s="809"/>
      <c r="O29" s="805"/>
    </row>
    <row r="30" spans="1:18" x14ac:dyDescent="0.25">
      <c r="A30" s="5"/>
      <c r="B30" s="1306" t="s">
        <v>2228</v>
      </c>
      <c r="C30" s="1306"/>
      <c r="D30" s="1306"/>
      <c r="E30" s="1306"/>
      <c r="F30" s="4"/>
      <c r="G30" s="1311"/>
      <c r="H30" s="1312"/>
      <c r="I30" s="1312"/>
      <c r="J30" s="1312"/>
      <c r="K30" s="1313"/>
      <c r="L30" s="178"/>
      <c r="M30" s="178"/>
      <c r="N30" s="845"/>
      <c r="O30" s="808"/>
    </row>
    <row r="31" spans="1:18" x14ac:dyDescent="0.25">
      <c r="A31" s="5"/>
      <c r="B31" s="1306" t="s">
        <v>2229</v>
      </c>
      <c r="C31" s="1306"/>
      <c r="D31" s="1306"/>
      <c r="E31" s="1306"/>
      <c r="F31" s="4"/>
      <c r="G31" s="1314"/>
      <c r="H31" s="1314"/>
      <c r="I31" s="1314"/>
      <c r="J31" s="1314"/>
      <c r="K31" s="1315"/>
      <c r="L31" s="178"/>
      <c r="M31" s="178"/>
      <c r="N31" s="846"/>
      <c r="O31" s="293"/>
      <c r="P31" s="805"/>
      <c r="Q31" s="805"/>
    </row>
    <row r="32" spans="1:18" ht="4.5" customHeight="1" x14ac:dyDescent="0.3">
      <c r="A32" s="5"/>
      <c r="B32" s="4"/>
      <c r="C32" s="4"/>
      <c r="D32" s="4"/>
      <c r="E32" s="4"/>
      <c r="F32" s="4"/>
      <c r="G32" s="4"/>
      <c r="H32" s="4"/>
      <c r="I32" s="4"/>
      <c r="J32" s="4"/>
      <c r="K32" s="6"/>
      <c r="L32" s="178"/>
      <c r="M32" s="178"/>
      <c r="N32" s="809"/>
      <c r="O32" s="805"/>
      <c r="P32" s="808"/>
      <c r="Q32" s="808"/>
    </row>
    <row r="33" spans="1:16" ht="13" x14ac:dyDescent="0.3">
      <c r="A33" s="1332" t="s">
        <v>362</v>
      </c>
      <c r="B33" s="1309"/>
      <c r="C33" s="1309"/>
      <c r="D33" s="1309"/>
      <c r="E33" s="1309"/>
      <c r="F33" s="1309"/>
      <c r="G33" s="1309"/>
      <c r="H33" s="1309"/>
      <c r="I33" s="1309"/>
      <c r="J33" s="1309"/>
      <c r="K33" s="1344"/>
      <c r="L33" s="178"/>
      <c r="M33" s="178"/>
      <c r="N33" s="809"/>
      <c r="O33" s="805"/>
    </row>
    <row r="34" spans="1:16" ht="13" x14ac:dyDescent="0.3">
      <c r="A34" s="5"/>
      <c r="B34" s="1307" t="s">
        <v>2226</v>
      </c>
      <c r="C34" s="1307"/>
      <c r="D34" s="1307"/>
      <c r="E34" s="1307"/>
      <c r="F34" s="4"/>
      <c r="G34" s="1293"/>
      <c r="H34" s="1294"/>
      <c r="I34" s="1294"/>
      <c r="J34" s="1294"/>
      <c r="K34" s="1295"/>
      <c r="L34" s="178"/>
      <c r="M34" s="178"/>
      <c r="N34" s="809"/>
      <c r="O34" s="805"/>
    </row>
    <row r="35" spans="1:16" ht="13" x14ac:dyDescent="0.3">
      <c r="A35" s="5"/>
      <c r="B35" s="1306" t="s">
        <v>2227</v>
      </c>
      <c r="C35" s="1306"/>
      <c r="D35" s="1306"/>
      <c r="E35" s="1306"/>
      <c r="F35" s="4"/>
      <c r="G35" s="1293"/>
      <c r="H35" s="1294"/>
      <c r="I35" s="1294"/>
      <c r="J35" s="1294"/>
      <c r="K35" s="1295"/>
      <c r="L35" s="178"/>
      <c r="M35" s="178"/>
      <c r="N35" s="809"/>
      <c r="O35" s="805"/>
    </row>
    <row r="36" spans="1:16" ht="13" x14ac:dyDescent="0.3">
      <c r="A36" s="5"/>
      <c r="B36" s="1371" t="s">
        <v>1102</v>
      </c>
      <c r="C36" s="1330"/>
      <c r="D36" s="1330"/>
      <c r="E36" s="1331"/>
      <c r="F36" s="4"/>
      <c r="G36" s="1293"/>
      <c r="H36" s="1294"/>
      <c r="I36" s="1294"/>
      <c r="J36" s="1294"/>
      <c r="K36" s="1295"/>
      <c r="L36" s="178"/>
      <c r="M36" s="178"/>
      <c r="N36" s="809"/>
      <c r="O36" s="805"/>
    </row>
    <row r="37" spans="1:16" ht="13" x14ac:dyDescent="0.3">
      <c r="A37" s="5"/>
      <c r="B37" s="1308" t="s">
        <v>1128</v>
      </c>
      <c r="C37" s="1309"/>
      <c r="D37" s="1309"/>
      <c r="E37" s="1310"/>
      <c r="F37" s="4"/>
      <c r="G37" s="1293"/>
      <c r="H37" s="1294"/>
      <c r="I37" s="1294"/>
      <c r="J37" s="1294"/>
      <c r="K37" s="1295"/>
      <c r="L37" s="178"/>
      <c r="M37" s="178"/>
      <c r="N37" s="809"/>
      <c r="O37" s="805"/>
    </row>
    <row r="38" spans="1:16" x14ac:dyDescent="0.25">
      <c r="A38" s="5"/>
      <c r="B38" s="1371" t="s">
        <v>363</v>
      </c>
      <c r="C38" s="1330"/>
      <c r="D38" s="1330"/>
      <c r="E38" s="1331"/>
      <c r="F38" s="4"/>
      <c r="G38" s="1293" t="s">
        <v>1540</v>
      </c>
      <c r="H38" s="1294"/>
      <c r="I38" s="1294"/>
      <c r="J38" s="1294"/>
      <c r="K38" s="1295"/>
      <c r="L38" s="178"/>
      <c r="M38" s="178"/>
      <c r="N38" s="293"/>
      <c r="O38" s="293"/>
    </row>
    <row r="39" spans="1:16" ht="12.75" customHeight="1" x14ac:dyDescent="0.3">
      <c r="A39" s="5"/>
      <c r="B39" s="1306" t="s">
        <v>2230</v>
      </c>
      <c r="C39" s="1306"/>
      <c r="D39" s="1306"/>
      <c r="E39" s="1306"/>
      <c r="F39" s="4"/>
      <c r="G39" s="1293"/>
      <c r="H39" s="1294"/>
      <c r="I39" s="1294"/>
      <c r="J39" s="1294"/>
      <c r="K39" s="1295"/>
      <c r="L39" s="178"/>
      <c r="M39" s="178"/>
      <c r="N39" s="847"/>
      <c r="O39" s="806"/>
    </row>
    <row r="40" spans="1:16" x14ac:dyDescent="0.25">
      <c r="A40" s="5"/>
      <c r="B40" s="1306" t="s">
        <v>2228</v>
      </c>
      <c r="C40" s="1306"/>
      <c r="D40" s="1306"/>
      <c r="E40" s="1306"/>
      <c r="F40" s="4"/>
      <c r="G40" s="1293"/>
      <c r="H40" s="1294"/>
      <c r="I40" s="1294"/>
      <c r="J40" s="1294"/>
      <c r="K40" s="1295"/>
      <c r="L40" s="178"/>
      <c r="M40" s="178"/>
      <c r="N40" s="806"/>
      <c r="O40" s="806"/>
    </row>
    <row r="41" spans="1:16" x14ac:dyDescent="0.25">
      <c r="A41" s="5"/>
      <c r="B41" s="1306" t="s">
        <v>2229</v>
      </c>
      <c r="C41" s="1306"/>
      <c r="D41" s="1306"/>
      <c r="E41" s="1306"/>
      <c r="F41" s="4"/>
      <c r="G41" s="1293"/>
      <c r="H41" s="1294"/>
      <c r="I41" s="1294"/>
      <c r="J41" s="1294"/>
      <c r="K41" s="1295"/>
      <c r="L41" s="178"/>
      <c r="M41" s="178"/>
      <c r="N41" s="806"/>
      <c r="O41" s="806"/>
      <c r="P41" s="806"/>
    </row>
    <row r="42" spans="1:16" ht="13" thickBot="1" x14ac:dyDescent="0.3">
      <c r="A42" s="8"/>
      <c r="B42" s="1367" t="s">
        <v>2231</v>
      </c>
      <c r="C42" s="1367"/>
      <c r="D42" s="1367"/>
      <c r="E42" s="1367"/>
      <c r="F42" s="9"/>
      <c r="G42" s="1368"/>
      <c r="H42" s="1369"/>
      <c r="I42" s="1369"/>
      <c r="J42" s="1369"/>
      <c r="K42" s="1370"/>
      <c r="L42" s="178"/>
      <c r="M42" s="178"/>
      <c r="N42" s="806"/>
      <c r="O42" s="806"/>
      <c r="P42" s="806"/>
    </row>
    <row r="43" spans="1:16" ht="4.5" customHeight="1" x14ac:dyDescent="0.25">
      <c r="A43" s="4"/>
      <c r="B43" s="7"/>
      <c r="C43" s="7"/>
      <c r="D43" s="7"/>
      <c r="E43" s="7"/>
      <c r="F43" s="4"/>
      <c r="G43" s="791"/>
      <c r="H43" s="791"/>
      <c r="I43" s="791"/>
      <c r="J43" s="791"/>
      <c r="K43" s="791"/>
      <c r="L43" s="178"/>
      <c r="M43" s="178"/>
      <c r="N43" s="806"/>
      <c r="O43" s="806"/>
      <c r="P43" s="806"/>
    </row>
    <row r="44" spans="1:16" ht="12.75" customHeight="1" x14ac:dyDescent="0.25">
      <c r="A44" s="1296" t="s">
        <v>1599</v>
      </c>
      <c r="B44" s="1296"/>
      <c r="C44" s="1296"/>
      <c r="D44" s="1296"/>
      <c r="E44" s="1296"/>
      <c r="F44" s="1296"/>
      <c r="G44" s="1296"/>
      <c r="H44" s="1296"/>
      <c r="I44" s="1296"/>
      <c r="J44" s="1296"/>
      <c r="K44" s="1296"/>
      <c r="L44" s="178"/>
      <c r="M44" s="178"/>
      <c r="N44" s="806"/>
      <c r="O44" s="806"/>
      <c r="P44" s="806"/>
    </row>
    <row r="45" spans="1:16" ht="12.75" customHeight="1" x14ac:dyDescent="0.25">
      <c r="A45" s="1004"/>
      <c r="B45" s="1296" t="s">
        <v>2226</v>
      </c>
      <c r="C45" s="1296"/>
      <c r="D45" s="1296"/>
      <c r="E45" s="1296" t="s">
        <v>1601</v>
      </c>
      <c r="F45" s="1296"/>
      <c r="G45" s="1296"/>
      <c r="H45" s="1316" t="s">
        <v>1600</v>
      </c>
      <c r="I45" s="1316"/>
      <c r="J45" s="1316"/>
      <c r="K45" s="1316"/>
      <c r="L45" s="178"/>
      <c r="M45" s="178"/>
      <c r="N45" s="806"/>
      <c r="O45" s="806"/>
      <c r="P45" s="806"/>
    </row>
    <row r="46" spans="1:16" ht="12.75" customHeight="1" x14ac:dyDescent="0.25">
      <c r="A46" s="4"/>
      <c r="B46" s="1299"/>
      <c r="C46" s="1300"/>
      <c r="D46" s="1301"/>
      <c r="E46" s="1299"/>
      <c r="F46" s="1300"/>
      <c r="G46" s="1301"/>
      <c r="H46" s="1299"/>
      <c r="I46" s="1300"/>
      <c r="J46" s="1300"/>
      <c r="K46" s="1301"/>
      <c r="L46" s="178"/>
      <c r="M46" s="178"/>
      <c r="N46" s="806"/>
      <c r="O46" s="806"/>
      <c r="P46" s="806"/>
    </row>
    <row r="47" spans="1:16" ht="12.75" customHeight="1" x14ac:dyDescent="0.25">
      <c r="A47" s="4"/>
      <c r="B47" s="1299"/>
      <c r="C47" s="1300"/>
      <c r="D47" s="1301"/>
      <c r="E47" s="1299"/>
      <c r="F47" s="1300"/>
      <c r="G47" s="1301"/>
      <c r="H47" s="1299"/>
      <c r="I47" s="1300"/>
      <c r="J47" s="1300"/>
      <c r="K47" s="1301"/>
      <c r="L47" s="178"/>
      <c r="M47" s="178"/>
      <c r="N47" s="806"/>
      <c r="O47" s="806"/>
      <c r="P47" s="806"/>
    </row>
    <row r="48" spans="1:16" ht="12.75" customHeight="1" x14ac:dyDescent="0.25">
      <c r="A48" s="4"/>
      <c r="B48" s="1299"/>
      <c r="C48" s="1300"/>
      <c r="D48" s="1301"/>
      <c r="E48" s="1299"/>
      <c r="F48" s="1300"/>
      <c r="G48" s="1301"/>
      <c r="H48" s="1299"/>
      <c r="I48" s="1300"/>
      <c r="J48" s="1300"/>
      <c r="K48" s="1301"/>
      <c r="L48" s="178"/>
      <c r="M48" s="178"/>
      <c r="N48" s="806"/>
      <c r="O48" s="806"/>
      <c r="P48" s="806"/>
    </row>
    <row r="49" spans="1:16" ht="12.75" customHeight="1" x14ac:dyDescent="0.25">
      <c r="A49" s="4"/>
      <c r="B49" s="1299"/>
      <c r="C49" s="1300"/>
      <c r="D49" s="1301"/>
      <c r="E49" s="1299"/>
      <c r="F49" s="1300"/>
      <c r="G49" s="1301"/>
      <c r="H49" s="1299"/>
      <c r="I49" s="1300"/>
      <c r="J49" s="1300"/>
      <c r="K49" s="1301"/>
      <c r="L49" s="178"/>
      <c r="M49" s="178"/>
      <c r="N49" s="806"/>
      <c r="O49" s="806"/>
      <c r="P49" s="806"/>
    </row>
    <row r="50" spans="1:16" ht="12.75" customHeight="1" x14ac:dyDescent="0.25">
      <c r="A50" s="4"/>
      <c r="B50" s="1299"/>
      <c r="C50" s="1300"/>
      <c r="D50" s="1301"/>
      <c r="E50" s="1299"/>
      <c r="F50" s="1300"/>
      <c r="G50" s="1301"/>
      <c r="H50" s="1299"/>
      <c r="I50" s="1300"/>
      <c r="J50" s="1300"/>
      <c r="K50" s="1301"/>
      <c r="L50" s="178"/>
      <c r="M50" s="178"/>
      <c r="N50" s="806"/>
      <c r="O50" s="806"/>
      <c r="P50" s="806"/>
    </row>
    <row r="51" spans="1:16" ht="4.5" customHeight="1" x14ac:dyDescent="0.25">
      <c r="A51" s="4"/>
      <c r="B51" s="7"/>
      <c r="C51" s="7"/>
      <c r="D51" s="7"/>
      <c r="E51" s="7"/>
      <c r="F51" s="4"/>
      <c r="G51" s="791"/>
      <c r="H51" s="791"/>
      <c r="I51" s="791"/>
      <c r="J51" s="791"/>
      <c r="K51" s="791"/>
      <c r="L51" s="178"/>
      <c r="M51" s="178"/>
      <c r="N51" s="806"/>
      <c r="O51" s="806"/>
      <c r="P51" s="806"/>
    </row>
    <row r="52" spans="1:16" x14ac:dyDescent="0.25">
      <c r="A52" s="1286" t="s">
        <v>1895</v>
      </c>
      <c r="B52" s="1286"/>
      <c r="C52" s="1286"/>
      <c r="D52" s="1286"/>
      <c r="E52" s="1286"/>
      <c r="F52" s="1286"/>
      <c r="G52" s="1286"/>
      <c r="H52" s="1286"/>
      <c r="I52" s="1286"/>
      <c r="J52" s="1286"/>
      <c r="K52" s="1286"/>
      <c r="L52" s="178"/>
      <c r="M52" s="178"/>
      <c r="N52" s="806"/>
      <c r="O52" s="806"/>
      <c r="P52" s="806"/>
    </row>
    <row r="53" spans="1:16" x14ac:dyDescent="0.25">
      <c r="A53" s="4"/>
      <c r="B53" s="1286" t="s">
        <v>1896</v>
      </c>
      <c r="C53" s="1286"/>
      <c r="D53" s="1286"/>
      <c r="E53" s="1286"/>
      <c r="F53" s="4"/>
      <c r="G53" s="1299"/>
      <c r="H53" s="1300"/>
      <c r="I53" s="1300"/>
      <c r="J53" s="1300"/>
      <c r="K53" s="1301"/>
      <c r="L53" s="178"/>
      <c r="M53" s="178"/>
      <c r="N53" s="806"/>
      <c r="O53" s="806"/>
      <c r="P53" s="806"/>
    </row>
    <row r="54" spans="1:16" x14ac:dyDescent="0.25">
      <c r="A54" s="4"/>
      <c r="B54" s="1286" t="s">
        <v>1924</v>
      </c>
      <c r="C54" s="1286"/>
      <c r="D54" s="1286"/>
      <c r="E54" s="1286"/>
      <c r="F54" s="4"/>
      <c r="G54" s="1299"/>
      <c r="H54" s="1300"/>
      <c r="I54" s="1300"/>
      <c r="J54" s="1300"/>
      <c r="K54" s="1301"/>
      <c r="L54" s="178"/>
      <c r="M54" s="178"/>
      <c r="N54" s="806"/>
      <c r="O54" s="806"/>
      <c r="P54" s="806"/>
    </row>
    <row r="55" spans="1:16" x14ac:dyDescent="0.25">
      <c r="A55" s="4"/>
      <c r="B55" s="1286" t="s">
        <v>1923</v>
      </c>
      <c r="C55" s="1286"/>
      <c r="D55" s="1286"/>
      <c r="E55" s="1286"/>
      <c r="F55" s="4"/>
      <c r="G55" s="1299"/>
      <c r="H55" s="1300"/>
      <c r="I55" s="1300"/>
      <c r="J55" s="1300"/>
      <c r="K55" s="1301"/>
      <c r="L55" s="178"/>
      <c r="M55" s="178"/>
      <c r="N55" s="806"/>
      <c r="O55" s="806"/>
      <c r="P55" s="806"/>
    </row>
    <row r="56" spans="1:16" ht="5.25" customHeight="1" x14ac:dyDescent="0.25">
      <c r="A56" s="4"/>
      <c r="B56" s="7"/>
      <c r="C56" s="7"/>
      <c r="D56" s="7"/>
      <c r="E56" s="7"/>
      <c r="F56" s="4"/>
      <c r="G56" s="791"/>
      <c r="H56" s="791"/>
      <c r="I56" s="791"/>
      <c r="J56" s="791"/>
      <c r="K56" s="791"/>
      <c r="L56" s="178"/>
      <c r="M56" s="178"/>
      <c r="N56" s="806"/>
      <c r="O56" s="806"/>
      <c r="P56" s="806"/>
    </row>
    <row r="57" spans="1:16" ht="13.5" customHeight="1" thickBot="1" x14ac:dyDescent="0.3">
      <c r="A57" s="1286" t="s">
        <v>1602</v>
      </c>
      <c r="B57" s="1286"/>
      <c r="C57" s="1286"/>
      <c r="D57" s="1286"/>
      <c r="E57" s="1286"/>
      <c r="F57" s="1286"/>
      <c r="G57" s="1286"/>
      <c r="H57" s="1286"/>
      <c r="I57" s="1286"/>
      <c r="J57" s="1286"/>
      <c r="K57" s="1286"/>
      <c r="L57" s="178"/>
      <c r="M57" s="178"/>
      <c r="N57" s="806"/>
      <c r="O57" s="806"/>
      <c r="P57" s="806"/>
    </row>
    <row r="58" spans="1:16" ht="13.5" customHeight="1" x14ac:dyDescent="0.25">
      <c r="A58" s="4"/>
      <c r="B58" s="1302" t="s">
        <v>1603</v>
      </c>
      <c r="C58" s="1302"/>
      <c r="D58" s="1302"/>
      <c r="E58" s="1302"/>
      <c r="F58" s="1302"/>
      <c r="G58" s="1093"/>
      <c r="H58" s="1303" t="s">
        <v>158</v>
      </c>
      <c r="I58" s="1303"/>
      <c r="J58" s="1304"/>
      <c r="K58" s="1305"/>
      <c r="L58" s="178"/>
      <c r="M58" s="178"/>
      <c r="N58" s="806"/>
      <c r="O58" s="806"/>
      <c r="P58" s="806"/>
    </row>
    <row r="59" spans="1:16" ht="13.5" customHeight="1" thickBot="1" x14ac:dyDescent="0.3">
      <c r="A59" s="4"/>
      <c r="B59" s="1286" t="s">
        <v>1173</v>
      </c>
      <c r="C59" s="1286"/>
      <c r="D59" s="1286"/>
      <c r="E59" s="1286"/>
      <c r="F59" s="1286"/>
      <c r="G59" s="1094"/>
      <c r="H59" s="1296" t="s">
        <v>159</v>
      </c>
      <c r="I59" s="1296"/>
      <c r="J59" s="1297">
        <v>0</v>
      </c>
      <c r="K59" s="1298"/>
      <c r="L59" s="178"/>
      <c r="M59" s="178"/>
      <c r="N59" s="806"/>
      <c r="O59" s="806"/>
      <c r="P59" s="806"/>
    </row>
    <row r="60" spans="1:16" ht="5.25" customHeight="1" thickBot="1" x14ac:dyDescent="0.3">
      <c r="A60" s="4"/>
      <c r="B60" s="7"/>
      <c r="C60" s="7"/>
      <c r="D60" s="7"/>
      <c r="E60" s="7"/>
      <c r="F60" s="4"/>
      <c r="G60" s="791"/>
      <c r="H60" s="791"/>
      <c r="I60" s="791"/>
      <c r="J60" s="791"/>
      <c r="K60" s="791"/>
      <c r="L60" s="178"/>
      <c r="M60" s="178"/>
      <c r="N60" s="806"/>
      <c r="O60" s="806"/>
      <c r="P60" s="806"/>
    </row>
    <row r="61" spans="1:16" x14ac:dyDescent="0.25">
      <c r="A61" s="1287" t="s">
        <v>1894</v>
      </c>
      <c r="B61" s="1288"/>
      <c r="C61" s="1288"/>
      <c r="D61" s="1288"/>
      <c r="E61" s="1288"/>
      <c r="F61" s="1288"/>
      <c r="G61" s="1288"/>
      <c r="H61" s="1288"/>
      <c r="I61" s="1288"/>
      <c r="J61" s="1288"/>
      <c r="K61" s="1289"/>
      <c r="L61" s="178"/>
      <c r="M61" s="178"/>
      <c r="N61" s="806"/>
      <c r="O61" s="806"/>
      <c r="P61" s="806"/>
    </row>
    <row r="62" spans="1:16" ht="12.75" customHeight="1" x14ac:dyDescent="0.25">
      <c r="A62" s="1095"/>
      <c r="B62" s="1280" t="s">
        <v>2226</v>
      </c>
      <c r="C62" s="1280"/>
      <c r="D62" s="1280"/>
      <c r="E62" s="1280"/>
      <c r="F62" s="1004"/>
      <c r="G62" s="1281" t="str">
        <f>'LUIK Organisator'!C12</f>
        <v>Steven Vermeeren</v>
      </c>
      <c r="H62" s="1281"/>
      <c r="I62" s="1281"/>
      <c r="J62" s="1281"/>
      <c r="K62" s="1282"/>
      <c r="L62" s="178"/>
      <c r="M62" s="178"/>
      <c r="N62" s="806"/>
      <c r="O62" s="806"/>
      <c r="P62" s="806"/>
    </row>
    <row r="63" spans="1:16" x14ac:dyDescent="0.25">
      <c r="A63" s="1095"/>
      <c r="B63" s="1283" t="s">
        <v>866</v>
      </c>
      <c r="C63" s="1284"/>
      <c r="D63" s="1284"/>
      <c r="E63" s="1285"/>
      <c r="F63" s="1004"/>
      <c r="G63" s="1290" t="str">
        <f>'LUIK Organisator'!C13</f>
        <v>0477/47.02.80</v>
      </c>
      <c r="H63" s="1291"/>
      <c r="I63" s="1291"/>
      <c r="J63" s="1291"/>
      <c r="K63" s="1292"/>
      <c r="L63" s="178"/>
      <c r="M63" s="178"/>
      <c r="N63" s="806"/>
      <c r="O63" s="806"/>
      <c r="P63" s="806"/>
    </row>
    <row r="64" spans="1:16" ht="13" thickBot="1" x14ac:dyDescent="0.3">
      <c r="A64" s="1096"/>
      <c r="B64" s="1277" t="s">
        <v>2205</v>
      </c>
      <c r="C64" s="1277"/>
      <c r="D64" s="1277"/>
      <c r="E64" s="1277"/>
      <c r="F64" s="1097"/>
      <c r="G64" s="1278" t="str">
        <f>'LUIK Organisator'!C10</f>
        <v>steven.vermeeren@mechelen.be</v>
      </c>
      <c r="H64" s="1278"/>
      <c r="I64" s="1278"/>
      <c r="J64" s="1278"/>
      <c r="K64" s="1279"/>
      <c r="L64" s="178"/>
      <c r="M64" s="178"/>
      <c r="N64" s="806"/>
      <c r="O64" s="806"/>
      <c r="P64" s="806"/>
    </row>
    <row r="65" spans="1:16" x14ac:dyDescent="0.25">
      <c r="A65" s="178"/>
      <c r="B65" s="178"/>
      <c r="C65" s="178"/>
      <c r="D65" s="178"/>
      <c r="E65" s="178"/>
      <c r="F65" s="178"/>
      <c r="G65" s="178"/>
      <c r="H65" s="178"/>
      <c r="I65" s="178"/>
      <c r="J65" s="178"/>
      <c r="K65" s="178"/>
      <c r="L65" s="178"/>
      <c r="M65" s="293"/>
      <c r="N65" s="806"/>
      <c r="O65" s="806"/>
      <c r="P65" s="806"/>
    </row>
    <row r="66" spans="1:16" x14ac:dyDescent="0.25">
      <c r="A66" s="178"/>
      <c r="B66" s="178"/>
      <c r="C66" s="178"/>
      <c r="D66" s="178"/>
      <c r="E66" s="178"/>
      <c r="F66" s="178"/>
      <c r="G66" s="178"/>
      <c r="H66" s="178"/>
      <c r="I66" s="178"/>
      <c r="J66" s="178"/>
      <c r="K66" s="178"/>
      <c r="L66" s="178"/>
      <c r="M66" s="293"/>
      <c r="N66" s="806"/>
      <c r="O66" s="806"/>
      <c r="P66" s="806" t="s">
        <v>158</v>
      </c>
    </row>
    <row r="67" spans="1:16" x14ac:dyDescent="0.25">
      <c r="A67" s="178"/>
      <c r="B67" s="178"/>
      <c r="C67" s="178"/>
      <c r="D67" s="178"/>
      <c r="E67" s="178"/>
      <c r="F67" s="178"/>
      <c r="G67" s="178"/>
      <c r="H67" s="178"/>
      <c r="I67" s="178"/>
      <c r="J67" s="178"/>
      <c r="K67" s="178"/>
      <c r="L67" s="178"/>
      <c r="M67" s="505"/>
      <c r="N67" s="293"/>
      <c r="O67" s="293"/>
      <c r="P67" s="806" t="s">
        <v>159</v>
      </c>
    </row>
    <row r="68" spans="1:16" x14ac:dyDescent="0.25">
      <c r="A68" s="178"/>
      <c r="B68" s="178"/>
      <c r="C68" s="178"/>
      <c r="D68" s="178"/>
      <c r="E68" s="178"/>
      <c r="F68" s="178"/>
      <c r="G68" s="178"/>
      <c r="H68" s="178"/>
      <c r="I68" s="178"/>
      <c r="J68" s="178"/>
      <c r="K68" s="178"/>
      <c r="L68" s="178"/>
      <c r="M68" s="178"/>
      <c r="N68" s="178"/>
      <c r="O68" s="178"/>
      <c r="P68" s="806" t="s">
        <v>160</v>
      </c>
    </row>
    <row r="69" spans="1:16" ht="15.5" hidden="1" x14ac:dyDescent="0.35">
      <c r="A69" s="178"/>
      <c r="B69" s="178"/>
      <c r="C69" s="178"/>
      <c r="D69" s="178"/>
      <c r="E69" s="178"/>
      <c r="F69" s="178"/>
      <c r="G69" s="718" t="s">
        <v>1492</v>
      </c>
      <c r="H69" s="719"/>
      <c r="I69" s="720">
        <f>IF(OR(K21=0,K8=0,G3="",G22="Maak uw keuze",I14=0,G5="VERSIE 25",G6="Maak uw keuze"),1,0)</f>
        <v>1</v>
      </c>
      <c r="J69" s="721"/>
      <c r="K69" s="721"/>
      <c r="L69" s="721"/>
      <c r="M69" s="178"/>
      <c r="N69" s="178"/>
      <c r="O69" s="178"/>
    </row>
    <row r="70" spans="1:16" ht="15.5" x14ac:dyDescent="0.35">
      <c r="A70" s="178"/>
      <c r="B70" s="178"/>
      <c r="C70" s="178"/>
      <c r="D70" s="178"/>
      <c r="E70" s="178"/>
      <c r="F70" s="178"/>
      <c r="G70" s="721"/>
      <c r="H70" s="721"/>
      <c r="I70" s="721"/>
      <c r="J70" s="721"/>
      <c r="K70" s="721"/>
      <c r="L70" s="721"/>
      <c r="M70" s="178"/>
      <c r="N70" s="178"/>
      <c r="O70" s="178"/>
    </row>
    <row r="71" spans="1:16" x14ac:dyDescent="0.25">
      <c r="A71" s="178"/>
      <c r="B71" s="178"/>
      <c r="C71" s="178"/>
      <c r="D71" s="178"/>
      <c r="E71" s="178"/>
      <c r="F71" s="178"/>
      <c r="G71" s="178"/>
      <c r="H71" s="178"/>
      <c r="I71" s="178"/>
      <c r="J71" s="178"/>
      <c r="K71" s="178"/>
      <c r="L71" s="178"/>
      <c r="M71" s="178"/>
      <c r="N71" s="178"/>
      <c r="O71" s="178"/>
    </row>
    <row r="72" spans="1:16" x14ac:dyDescent="0.25">
      <c r="A72" s="178"/>
      <c r="B72" s="178"/>
      <c r="C72" s="178"/>
      <c r="D72" s="178"/>
      <c r="E72" s="178"/>
      <c r="F72" s="178"/>
      <c r="G72" s="178"/>
      <c r="H72" s="178"/>
      <c r="I72" s="178"/>
      <c r="J72" s="178"/>
      <c r="K72" s="178"/>
      <c r="L72" s="178"/>
      <c r="M72" s="178"/>
      <c r="N72" s="178"/>
      <c r="O72" s="178"/>
    </row>
    <row r="73" spans="1:16" x14ac:dyDescent="0.25">
      <c r="A73" s="178"/>
      <c r="B73" s="178"/>
      <c r="C73" s="178"/>
      <c r="D73" s="178"/>
      <c r="E73" s="178"/>
      <c r="F73" s="178"/>
      <c r="G73" s="178"/>
      <c r="H73" s="178"/>
      <c r="I73" s="178"/>
      <c r="J73" s="178"/>
      <c r="K73" s="178"/>
      <c r="L73" s="178"/>
      <c r="M73" s="178"/>
      <c r="N73" s="178"/>
      <c r="O73" s="178"/>
    </row>
    <row r="74" spans="1:16" x14ac:dyDescent="0.25">
      <c r="A74" s="178"/>
      <c r="B74" s="178"/>
      <c r="C74" s="178"/>
      <c r="D74" s="178"/>
      <c r="E74" s="178"/>
      <c r="F74" s="178"/>
      <c r="G74" s="178"/>
      <c r="H74" s="178"/>
      <c r="I74" s="178"/>
      <c r="J74" s="178"/>
      <c r="K74" s="178"/>
      <c r="L74" s="178"/>
      <c r="M74" s="178"/>
      <c r="N74" s="178"/>
      <c r="O74" s="178"/>
    </row>
    <row r="75" spans="1:16" x14ac:dyDescent="0.25">
      <c r="A75" s="178"/>
      <c r="B75" s="178"/>
      <c r="C75" s="178"/>
      <c r="D75" s="178"/>
      <c r="E75" s="178"/>
      <c r="F75" s="178"/>
      <c r="G75" s="178"/>
      <c r="H75" s="178"/>
      <c r="I75" s="178"/>
      <c r="J75" s="178"/>
      <c r="K75" s="178"/>
      <c r="L75" s="178"/>
      <c r="M75" s="178"/>
      <c r="N75" s="178"/>
      <c r="O75" s="178"/>
    </row>
    <row r="76" spans="1:16" x14ac:dyDescent="0.25">
      <c r="A76" s="178"/>
      <c r="B76" s="178"/>
      <c r="C76" s="178"/>
      <c r="D76" s="178"/>
      <c r="E76" s="178"/>
      <c r="F76" s="178"/>
      <c r="G76" s="178"/>
      <c r="H76" s="178"/>
      <c r="I76" s="178"/>
      <c r="J76" s="178"/>
      <c r="K76" s="178"/>
      <c r="L76" s="178"/>
      <c r="M76" s="178"/>
      <c r="N76" s="178"/>
      <c r="O76" s="178"/>
    </row>
    <row r="77" spans="1:16" x14ac:dyDescent="0.25">
      <c r="A77" s="178"/>
      <c r="B77" s="178"/>
      <c r="C77" s="178"/>
      <c r="D77" s="178"/>
      <c r="E77" s="178"/>
      <c r="F77" s="178"/>
      <c r="G77" s="178"/>
      <c r="H77" s="178"/>
      <c r="I77" s="178"/>
      <c r="J77" s="178"/>
      <c r="K77" s="178"/>
      <c r="L77" s="178"/>
      <c r="M77" s="178"/>
      <c r="N77" s="178"/>
      <c r="O77" s="178"/>
    </row>
    <row r="78" spans="1:16" x14ac:dyDescent="0.25">
      <c r="A78" s="178"/>
      <c r="B78" s="178"/>
      <c r="C78" s="178"/>
      <c r="D78" s="178"/>
      <c r="E78" s="178"/>
      <c r="F78" s="178"/>
      <c r="G78" s="178"/>
      <c r="H78" s="178"/>
      <c r="I78" s="178"/>
      <c r="J78" s="178"/>
      <c r="K78" s="178"/>
      <c r="L78" s="178"/>
      <c r="M78" s="178"/>
      <c r="N78" s="178"/>
      <c r="O78" s="178"/>
    </row>
    <row r="79" spans="1:16" x14ac:dyDescent="0.25">
      <c r="A79" s="178"/>
      <c r="B79" s="178"/>
      <c r="C79" s="178"/>
      <c r="D79" s="178"/>
      <c r="E79" s="178"/>
      <c r="F79" s="178"/>
      <c r="G79" s="178"/>
      <c r="H79" s="178"/>
      <c r="I79" s="178"/>
      <c r="J79" s="178"/>
      <c r="K79" s="178"/>
      <c r="L79" s="178"/>
      <c r="M79" s="178"/>
      <c r="N79" s="178"/>
      <c r="O79" s="178"/>
    </row>
    <row r="80" spans="1:16" x14ac:dyDescent="0.25">
      <c r="A80" s="178"/>
      <c r="B80" s="178"/>
      <c r="C80" s="178"/>
      <c r="D80" s="178"/>
      <c r="E80" s="178"/>
      <c r="F80" s="178"/>
      <c r="G80" s="178"/>
      <c r="H80" s="178"/>
      <c r="I80" s="178"/>
      <c r="J80" s="178"/>
      <c r="K80" s="178"/>
      <c r="L80" s="178"/>
      <c r="M80" s="178"/>
      <c r="N80" s="178"/>
      <c r="O80" s="178"/>
    </row>
    <row r="81" spans="1:15" x14ac:dyDescent="0.25">
      <c r="A81" s="178"/>
      <c r="B81" s="857"/>
      <c r="C81" s="857"/>
      <c r="D81" s="857"/>
      <c r="E81" s="857"/>
      <c r="F81" s="178"/>
      <c r="G81" s="858"/>
      <c r="H81" s="178"/>
      <c r="I81" s="178"/>
      <c r="J81" s="178"/>
      <c r="K81" s="178"/>
      <c r="L81" s="178"/>
      <c r="M81" s="178"/>
      <c r="N81" s="178"/>
      <c r="O81" s="178"/>
    </row>
    <row r="82" spans="1:15" x14ac:dyDescent="0.25">
      <c r="A82" s="178"/>
      <c r="B82" s="859"/>
      <c r="C82" s="859"/>
      <c r="D82" s="859"/>
      <c r="E82" s="859"/>
      <c r="F82" s="178"/>
      <c r="G82" s="858"/>
      <c r="H82" s="178"/>
      <c r="I82" s="178"/>
      <c r="J82" s="178"/>
      <c r="K82" s="178"/>
      <c r="L82" s="178"/>
      <c r="M82" s="178"/>
      <c r="N82" s="178"/>
      <c r="O82" s="178"/>
    </row>
    <row r="83" spans="1:15" x14ac:dyDescent="0.25">
      <c r="A83" s="178"/>
      <c r="B83" s="859"/>
      <c r="C83" s="859"/>
      <c r="D83" s="859"/>
      <c r="E83" s="859"/>
      <c r="F83" s="178"/>
      <c r="G83" s="178"/>
      <c r="H83" s="178"/>
      <c r="I83" s="178"/>
      <c r="J83" s="178"/>
      <c r="K83" s="178"/>
      <c r="L83" s="178"/>
      <c r="M83" s="178"/>
      <c r="N83" s="178"/>
      <c r="O83" s="178"/>
    </row>
    <row r="84" spans="1:15" x14ac:dyDescent="0.25">
      <c r="A84" s="178"/>
      <c r="B84" s="859"/>
      <c r="C84" s="859"/>
      <c r="D84" s="859"/>
      <c r="E84" s="859"/>
      <c r="F84" s="178"/>
      <c r="G84" s="178"/>
      <c r="H84" s="178"/>
      <c r="I84" s="178"/>
      <c r="J84" s="178"/>
      <c r="K84" s="178"/>
      <c r="L84" s="178"/>
      <c r="M84" s="178"/>
      <c r="N84" s="178"/>
      <c r="O84" s="178"/>
    </row>
    <row r="85" spans="1:15" x14ac:dyDescent="0.25">
      <c r="A85" s="178"/>
      <c r="B85" s="178"/>
      <c r="C85" s="178"/>
      <c r="D85" s="178"/>
      <c r="E85" s="178"/>
      <c r="F85" s="178"/>
      <c r="G85" s="178"/>
      <c r="H85" s="178"/>
      <c r="I85" s="178"/>
      <c r="J85" s="178"/>
      <c r="K85" s="178"/>
      <c r="L85" s="178"/>
      <c r="M85" s="178"/>
      <c r="N85" s="178"/>
      <c r="O85" s="178"/>
    </row>
    <row r="86" spans="1:15" x14ac:dyDescent="0.25">
      <c r="A86" s="178"/>
      <c r="B86" s="178"/>
      <c r="C86" s="178"/>
      <c r="D86" s="178"/>
      <c r="E86" s="178"/>
      <c r="F86" s="178"/>
      <c r="G86" s="178"/>
      <c r="H86" s="178"/>
      <c r="I86" s="178"/>
      <c r="J86" s="178"/>
      <c r="K86" s="178"/>
      <c r="L86" s="178"/>
      <c r="M86" s="178"/>
      <c r="N86" s="178"/>
      <c r="O86" s="178"/>
    </row>
    <row r="87" spans="1:15" x14ac:dyDescent="0.25">
      <c r="A87" s="178"/>
      <c r="B87" s="178"/>
      <c r="C87" s="178"/>
      <c r="D87" s="178"/>
      <c r="E87" s="178"/>
      <c r="F87" s="178"/>
      <c r="G87" s="178"/>
      <c r="H87" s="178"/>
      <c r="I87" s="178"/>
      <c r="J87" s="178"/>
      <c r="K87" s="178"/>
      <c r="L87" s="178"/>
      <c r="M87" s="178"/>
      <c r="N87" s="178"/>
      <c r="O87" s="178"/>
    </row>
    <row r="88" spans="1:15" x14ac:dyDescent="0.25">
      <c r="A88" s="178"/>
      <c r="B88" s="178"/>
      <c r="C88" s="178"/>
      <c r="D88" s="178"/>
      <c r="E88" s="178"/>
      <c r="F88" s="178"/>
      <c r="G88" s="178"/>
      <c r="H88" s="178"/>
      <c r="I88" s="178"/>
      <c r="J88" s="178"/>
      <c r="K88" s="178"/>
      <c r="L88" s="178"/>
      <c r="M88" s="178"/>
      <c r="N88" s="178"/>
      <c r="O88" s="178"/>
    </row>
    <row r="89" spans="1:15" x14ac:dyDescent="0.25">
      <c r="A89" s="178"/>
      <c r="B89" s="178"/>
      <c r="C89" s="178"/>
      <c r="D89" s="178"/>
      <c r="E89" s="178"/>
      <c r="F89" s="178"/>
      <c r="G89" s="178"/>
      <c r="H89" s="178"/>
      <c r="I89" s="178"/>
      <c r="J89" s="178"/>
      <c r="K89" s="178"/>
      <c r="L89" s="178"/>
      <c r="M89" s="178"/>
      <c r="N89" s="178"/>
      <c r="O89" s="178"/>
    </row>
    <row r="90" spans="1:15" x14ac:dyDescent="0.25">
      <c r="A90" s="178"/>
      <c r="B90" s="178"/>
      <c r="C90" s="178"/>
      <c r="D90" s="178"/>
      <c r="E90" s="178"/>
      <c r="F90" s="178"/>
      <c r="G90" s="178"/>
      <c r="H90" s="178"/>
      <c r="I90" s="178"/>
      <c r="J90" s="178"/>
      <c r="K90" s="178"/>
      <c r="L90" s="178"/>
      <c r="M90" s="178"/>
      <c r="N90" s="178"/>
      <c r="O90" s="178"/>
    </row>
    <row r="91" spans="1:15" x14ac:dyDescent="0.25">
      <c r="A91" s="178"/>
      <c r="B91" s="178"/>
      <c r="C91" s="178"/>
      <c r="D91" s="178"/>
      <c r="E91" s="178"/>
      <c r="F91" s="178"/>
      <c r="G91" s="178"/>
      <c r="H91" s="178"/>
      <c r="I91" s="178"/>
      <c r="J91" s="178"/>
      <c r="K91" s="178"/>
      <c r="L91" s="178"/>
      <c r="M91" s="178"/>
      <c r="N91" s="178"/>
      <c r="O91" s="178"/>
    </row>
    <row r="92" spans="1:15" x14ac:dyDescent="0.25">
      <c r="A92" s="178"/>
      <c r="B92" s="178"/>
      <c r="C92" s="178"/>
      <c r="D92" s="178"/>
      <c r="E92" s="178"/>
      <c r="F92" s="178"/>
      <c r="G92" s="178"/>
      <c r="H92" s="178"/>
      <c r="I92" s="178"/>
      <c r="J92" s="178"/>
      <c r="K92" s="178"/>
      <c r="L92" s="178"/>
      <c r="M92" s="178"/>
      <c r="N92" s="178"/>
      <c r="O92" s="178"/>
    </row>
    <row r="93" spans="1:15" x14ac:dyDescent="0.25">
      <c r="A93" s="178"/>
      <c r="B93" s="178"/>
      <c r="C93" s="178"/>
      <c r="D93" s="178"/>
      <c r="E93" s="178"/>
      <c r="F93" s="178"/>
      <c r="G93" s="178"/>
      <c r="H93" s="178"/>
      <c r="I93" s="178"/>
      <c r="J93" s="178"/>
      <c r="K93" s="178"/>
      <c r="L93" s="178"/>
      <c r="M93" s="178"/>
      <c r="N93" s="178"/>
      <c r="O93" s="178"/>
    </row>
    <row r="94" spans="1:15" x14ac:dyDescent="0.25">
      <c r="A94" s="178"/>
      <c r="B94" s="178"/>
      <c r="C94" s="178"/>
      <c r="D94" s="178"/>
      <c r="E94" s="178"/>
      <c r="F94" s="178"/>
      <c r="G94" s="178"/>
      <c r="H94" s="178"/>
      <c r="I94" s="178"/>
      <c r="J94" s="178"/>
      <c r="K94" s="178"/>
      <c r="L94" s="178"/>
      <c r="M94" s="178"/>
      <c r="N94" s="178"/>
      <c r="O94" s="178"/>
    </row>
    <row r="95" spans="1:15" x14ac:dyDescent="0.25">
      <c r="A95" s="178"/>
      <c r="B95" s="178"/>
      <c r="C95" s="178"/>
      <c r="D95" s="178"/>
      <c r="E95" s="178"/>
      <c r="F95" s="178"/>
      <c r="G95" s="178"/>
      <c r="H95" s="178"/>
      <c r="I95" s="178"/>
      <c r="J95" s="178"/>
      <c r="K95" s="178"/>
      <c r="L95" s="178"/>
      <c r="M95" s="178"/>
      <c r="N95" s="178"/>
      <c r="O95" s="178"/>
    </row>
    <row r="96" spans="1:15" x14ac:dyDescent="0.25">
      <c r="A96" s="178"/>
      <c r="B96" s="178"/>
      <c r="C96" s="178"/>
      <c r="D96" s="178"/>
      <c r="E96" s="178"/>
      <c r="F96" s="178"/>
      <c r="G96" s="178"/>
      <c r="H96" s="178"/>
      <c r="I96" s="178"/>
      <c r="J96" s="178"/>
      <c r="K96" s="178"/>
      <c r="L96" s="178"/>
      <c r="M96" s="178"/>
      <c r="N96" s="178"/>
      <c r="O96" s="178"/>
    </row>
    <row r="97" spans="1:15" x14ac:dyDescent="0.25">
      <c r="A97" s="178"/>
      <c r="B97" s="178"/>
      <c r="C97" s="178"/>
      <c r="D97" s="178"/>
      <c r="E97" s="178"/>
      <c r="F97" s="178"/>
      <c r="G97" s="178"/>
      <c r="H97" s="178"/>
      <c r="I97" s="178"/>
      <c r="J97" s="178"/>
      <c r="K97" s="178"/>
      <c r="L97" s="178"/>
      <c r="M97" s="178"/>
      <c r="N97" s="178"/>
      <c r="O97" s="178"/>
    </row>
    <row r="98" spans="1:15" x14ac:dyDescent="0.25">
      <c r="A98" s="178"/>
      <c r="B98" s="178"/>
      <c r="C98" s="178"/>
      <c r="D98" s="178"/>
      <c r="E98" s="178"/>
      <c r="F98" s="178"/>
      <c r="G98" s="178"/>
      <c r="H98" s="178"/>
      <c r="I98" s="178"/>
      <c r="J98" s="178"/>
      <c r="K98" s="178"/>
      <c r="L98" s="178"/>
      <c r="M98" s="178"/>
      <c r="N98" s="178"/>
      <c r="O98" s="178"/>
    </row>
    <row r="99" spans="1:15" x14ac:dyDescent="0.25">
      <c r="A99" s="178"/>
      <c r="B99" s="178"/>
      <c r="C99" s="178"/>
      <c r="D99" s="178"/>
      <c r="E99" s="178"/>
      <c r="F99" s="178"/>
      <c r="G99" s="178"/>
      <c r="H99" s="178"/>
      <c r="I99" s="178"/>
      <c r="J99" s="178"/>
      <c r="K99" s="178"/>
      <c r="L99" s="178"/>
      <c r="M99" s="178"/>
      <c r="N99" s="178"/>
      <c r="O99" s="178"/>
    </row>
    <row r="100" spans="1:15" x14ac:dyDescent="0.25">
      <c r="A100" s="178"/>
      <c r="B100" s="178"/>
      <c r="C100" s="178"/>
      <c r="D100" s="178"/>
      <c r="E100" s="178"/>
      <c r="F100" s="178"/>
      <c r="G100" s="178"/>
      <c r="H100" s="178"/>
      <c r="I100" s="178"/>
      <c r="J100" s="178"/>
      <c r="K100" s="178"/>
      <c r="L100" s="178"/>
      <c r="M100" s="178"/>
      <c r="N100" s="178"/>
      <c r="O100" s="178"/>
    </row>
    <row r="101" spans="1:15" x14ac:dyDescent="0.25">
      <c r="A101" s="178"/>
      <c r="B101" s="178"/>
      <c r="C101" s="178"/>
      <c r="D101" s="178"/>
      <c r="E101" s="178"/>
      <c r="F101" s="178"/>
      <c r="G101" s="178"/>
      <c r="H101" s="178"/>
      <c r="I101" s="178"/>
      <c r="J101" s="178"/>
      <c r="K101" s="178"/>
      <c r="L101" s="178"/>
      <c r="M101" s="178"/>
      <c r="N101" s="178"/>
      <c r="O101" s="178"/>
    </row>
    <row r="102" spans="1:15" x14ac:dyDescent="0.25">
      <c r="A102" s="178"/>
      <c r="B102" s="178"/>
      <c r="C102" s="178"/>
      <c r="D102" s="178"/>
      <c r="E102" s="178"/>
      <c r="F102" s="178"/>
      <c r="G102" s="178"/>
      <c r="H102" s="178"/>
      <c r="I102" s="178"/>
      <c r="J102" s="178"/>
      <c r="K102" s="178"/>
      <c r="L102" s="178"/>
      <c r="M102" s="178"/>
      <c r="N102" s="178"/>
      <c r="O102" s="178"/>
    </row>
    <row r="103" spans="1:15" x14ac:dyDescent="0.25">
      <c r="A103" s="178"/>
      <c r="B103" s="178"/>
      <c r="C103" s="178"/>
      <c r="D103" s="178"/>
      <c r="E103" s="178"/>
      <c r="F103" s="178"/>
      <c r="G103" s="178"/>
      <c r="H103" s="178"/>
      <c r="I103" s="178"/>
      <c r="J103" s="178"/>
      <c r="K103" s="178"/>
      <c r="L103" s="178"/>
      <c r="M103" s="178"/>
      <c r="N103" s="178"/>
      <c r="O103" s="178"/>
    </row>
    <row r="104" spans="1:15" x14ac:dyDescent="0.25">
      <c r="A104" s="178"/>
      <c r="B104" s="178"/>
      <c r="C104" s="178"/>
      <c r="D104" s="178"/>
      <c r="E104" s="178"/>
      <c r="F104" s="178"/>
      <c r="G104" s="178"/>
      <c r="H104" s="178"/>
      <c r="I104" s="178"/>
      <c r="J104" s="178"/>
      <c r="K104" s="178"/>
      <c r="L104" s="178"/>
      <c r="M104" s="178"/>
      <c r="N104" s="178"/>
      <c r="O104" s="178"/>
    </row>
    <row r="105" spans="1:15" x14ac:dyDescent="0.25">
      <c r="A105" s="178"/>
      <c r="B105" s="178"/>
      <c r="C105" s="178"/>
      <c r="D105" s="178"/>
      <c r="E105" s="178"/>
      <c r="F105" s="178"/>
      <c r="G105" s="178"/>
      <c r="H105" s="178"/>
      <c r="I105" s="178"/>
      <c r="J105" s="178"/>
      <c r="K105" s="178"/>
      <c r="L105" s="178"/>
      <c r="M105" s="178"/>
      <c r="N105" s="178"/>
      <c r="O105" s="178"/>
    </row>
    <row r="106" spans="1:15" x14ac:dyDescent="0.25">
      <c r="A106" s="178"/>
      <c r="B106" s="178"/>
      <c r="C106" s="178"/>
      <c r="D106" s="178"/>
      <c r="E106" s="178"/>
      <c r="F106" s="178"/>
      <c r="G106" s="178"/>
      <c r="H106" s="178"/>
      <c r="I106" s="178"/>
      <c r="J106" s="178"/>
      <c r="K106" s="178"/>
      <c r="L106" s="178"/>
      <c r="M106" s="178"/>
      <c r="N106" s="178"/>
      <c r="O106" s="178"/>
    </row>
    <row r="107" spans="1:15" x14ac:dyDescent="0.25">
      <c r="A107" s="178"/>
      <c r="B107" s="178"/>
      <c r="C107" s="178"/>
      <c r="D107" s="178"/>
      <c r="E107" s="178"/>
      <c r="F107" s="178"/>
      <c r="G107" s="178"/>
      <c r="H107" s="178"/>
      <c r="I107" s="178"/>
      <c r="J107" s="178"/>
      <c r="K107" s="178"/>
      <c r="L107" s="178"/>
      <c r="M107" s="178"/>
      <c r="N107" s="178"/>
      <c r="O107" s="178"/>
    </row>
    <row r="108" spans="1:15" x14ac:dyDescent="0.25">
      <c r="A108" s="178"/>
      <c r="B108" s="178"/>
      <c r="C108" s="178"/>
      <c r="D108" s="178"/>
      <c r="E108" s="178"/>
      <c r="F108" s="178"/>
      <c r="G108" s="178"/>
      <c r="H108" s="178"/>
      <c r="I108" s="178"/>
      <c r="J108" s="178"/>
      <c r="K108" s="178"/>
      <c r="L108" s="178"/>
      <c r="M108" s="178"/>
      <c r="N108" s="178"/>
      <c r="O108" s="178"/>
    </row>
    <row r="109" spans="1:15" x14ac:dyDescent="0.25">
      <c r="A109" s="178"/>
      <c r="B109" s="178"/>
      <c r="C109" s="178"/>
      <c r="D109" s="178"/>
      <c r="E109" s="178"/>
      <c r="F109" s="178"/>
      <c r="G109" s="178"/>
      <c r="H109" s="178"/>
      <c r="I109" s="178"/>
      <c r="J109" s="178"/>
      <c r="K109" s="178"/>
      <c r="L109" s="178"/>
      <c r="M109" s="178"/>
      <c r="N109" s="178"/>
      <c r="O109" s="178"/>
    </row>
    <row r="110" spans="1:15" x14ac:dyDescent="0.25">
      <c r="A110" s="178"/>
      <c r="B110" s="178"/>
      <c r="C110" s="178"/>
      <c r="D110" s="178"/>
      <c r="E110" s="178"/>
      <c r="F110" s="178"/>
      <c r="G110" s="178"/>
      <c r="H110" s="178"/>
      <c r="I110" s="178"/>
      <c r="J110" s="178"/>
      <c r="K110" s="178"/>
      <c r="L110" s="178"/>
      <c r="M110" s="178"/>
      <c r="N110" s="178"/>
      <c r="O110" s="178"/>
    </row>
    <row r="111" spans="1:15" x14ac:dyDescent="0.25">
      <c r="A111" s="178"/>
      <c r="B111" s="178"/>
      <c r="C111" s="178"/>
      <c r="D111" s="178"/>
      <c r="E111" s="178"/>
      <c r="F111" s="178"/>
      <c r="G111" s="178"/>
      <c r="H111" s="178"/>
      <c r="I111" s="178"/>
      <c r="J111" s="178"/>
      <c r="K111" s="178"/>
      <c r="L111" s="178"/>
      <c r="M111" s="178"/>
      <c r="N111" s="178"/>
      <c r="O111" s="178"/>
    </row>
    <row r="112" spans="1:15" x14ac:dyDescent="0.25">
      <c r="A112" s="178"/>
      <c r="B112" s="178"/>
      <c r="C112" s="178"/>
      <c r="D112" s="178"/>
      <c r="E112" s="178"/>
      <c r="F112" s="178"/>
      <c r="G112" s="178"/>
      <c r="H112" s="178"/>
      <c r="I112" s="178"/>
      <c r="J112" s="178"/>
      <c r="K112" s="178"/>
      <c r="L112" s="178"/>
      <c r="M112" s="178"/>
      <c r="N112" s="178"/>
      <c r="O112" s="178"/>
    </row>
    <row r="113" spans="1:15" x14ac:dyDescent="0.25">
      <c r="A113" s="178"/>
      <c r="B113" s="178"/>
      <c r="C113" s="178"/>
      <c r="D113" s="178"/>
      <c r="E113" s="178"/>
      <c r="F113" s="178"/>
      <c r="G113" s="178"/>
      <c r="H113" s="178"/>
      <c r="I113" s="178"/>
      <c r="J113" s="178"/>
      <c r="K113" s="178"/>
      <c r="L113" s="178"/>
      <c r="M113" s="178"/>
      <c r="N113" s="178"/>
      <c r="O113" s="178"/>
    </row>
    <row r="114" spans="1:15" x14ac:dyDescent="0.25">
      <c r="A114" s="178"/>
      <c r="B114" s="178"/>
      <c r="C114" s="178"/>
      <c r="D114" s="178"/>
      <c r="E114" s="178"/>
      <c r="F114" s="178"/>
      <c r="G114" s="178"/>
      <c r="H114" s="178"/>
      <c r="I114" s="178"/>
      <c r="J114" s="178"/>
      <c r="K114" s="178"/>
      <c r="L114" s="178"/>
      <c r="M114" s="178"/>
      <c r="N114" s="178"/>
      <c r="O114" s="178"/>
    </row>
    <row r="115" spans="1:15" x14ac:dyDescent="0.25">
      <c r="A115" s="178"/>
      <c r="B115" s="178"/>
      <c r="C115" s="178"/>
      <c r="D115" s="178"/>
      <c r="E115" s="178"/>
      <c r="F115" s="178"/>
      <c r="G115" s="178"/>
      <c r="H115" s="178"/>
      <c r="I115" s="178"/>
      <c r="J115" s="178"/>
      <c r="K115" s="178"/>
      <c r="L115" s="178"/>
      <c r="M115" s="178"/>
      <c r="N115" s="178"/>
      <c r="O115" s="178"/>
    </row>
    <row r="116" spans="1:15" x14ac:dyDescent="0.25">
      <c r="A116" s="178"/>
      <c r="B116" s="178"/>
      <c r="C116" s="178"/>
      <c r="D116" s="178"/>
      <c r="E116" s="178"/>
      <c r="F116" s="178"/>
      <c r="G116" s="178"/>
      <c r="H116" s="178"/>
      <c r="I116" s="178"/>
      <c r="J116" s="178"/>
      <c r="K116" s="178"/>
      <c r="L116" s="178"/>
      <c r="M116" s="178"/>
      <c r="N116" s="178"/>
      <c r="O116" s="178"/>
    </row>
    <row r="117" spans="1:15" x14ac:dyDescent="0.25">
      <c r="A117" s="178"/>
      <c r="B117" s="178"/>
      <c r="C117" s="178"/>
      <c r="D117" s="178"/>
      <c r="E117" s="178"/>
      <c r="F117" s="178"/>
      <c r="G117" s="178"/>
      <c r="H117" s="178"/>
      <c r="I117" s="178"/>
      <c r="J117" s="178"/>
      <c r="K117" s="178"/>
      <c r="L117" s="178"/>
      <c r="M117" s="178"/>
      <c r="N117" s="178"/>
      <c r="O117" s="178"/>
    </row>
    <row r="118" spans="1:15" x14ac:dyDescent="0.25">
      <c r="A118" s="178"/>
      <c r="B118" s="178"/>
      <c r="C118" s="178"/>
      <c r="D118" s="178"/>
      <c r="E118" s="178"/>
      <c r="F118" s="178"/>
      <c r="G118" s="178"/>
      <c r="H118" s="178"/>
      <c r="I118" s="178"/>
      <c r="J118" s="178"/>
      <c r="K118" s="178"/>
      <c r="L118" s="178"/>
      <c r="M118" s="178"/>
      <c r="N118" s="178"/>
      <c r="O118" s="178"/>
    </row>
    <row r="119" spans="1:15" x14ac:dyDescent="0.25">
      <c r="A119" s="178"/>
      <c r="B119" s="178"/>
      <c r="C119" s="178"/>
      <c r="D119" s="178"/>
      <c r="E119" s="178"/>
      <c r="F119" s="178"/>
      <c r="G119" s="178"/>
      <c r="H119" s="178"/>
      <c r="I119" s="178"/>
      <c r="J119" s="178"/>
      <c r="K119" s="178"/>
      <c r="L119" s="178"/>
      <c r="M119" s="178"/>
      <c r="N119" s="178"/>
      <c r="O119" s="178"/>
    </row>
    <row r="120" spans="1:15" x14ac:dyDescent="0.25">
      <c r="A120" s="178"/>
      <c r="B120" s="178"/>
      <c r="C120" s="178"/>
      <c r="D120" s="178"/>
      <c r="E120" s="178"/>
      <c r="F120" s="178"/>
      <c r="G120" s="178"/>
      <c r="H120" s="178"/>
      <c r="I120" s="178"/>
      <c r="J120" s="178"/>
      <c r="K120" s="178"/>
      <c r="L120" s="178"/>
      <c r="M120" s="178"/>
      <c r="N120" s="178"/>
      <c r="O120" s="178"/>
    </row>
    <row r="121" spans="1:15" x14ac:dyDescent="0.25">
      <c r="A121" s="178"/>
      <c r="B121" s="178"/>
      <c r="C121" s="178"/>
      <c r="D121" s="178"/>
      <c r="E121" s="178"/>
      <c r="F121" s="178"/>
      <c r="G121" s="178"/>
      <c r="H121" s="178"/>
      <c r="I121" s="178"/>
      <c r="J121" s="178"/>
      <c r="K121" s="178"/>
      <c r="L121" s="178"/>
      <c r="M121" s="178"/>
      <c r="N121" s="178"/>
      <c r="O121" s="178"/>
    </row>
    <row r="122" spans="1:15" x14ac:dyDescent="0.25">
      <c r="A122" s="178"/>
      <c r="B122" s="178"/>
      <c r="C122" s="178"/>
      <c r="D122" s="178"/>
      <c r="E122" s="178"/>
      <c r="F122" s="178"/>
      <c r="G122" s="178"/>
      <c r="H122" s="178"/>
      <c r="I122" s="178"/>
      <c r="J122" s="178"/>
      <c r="K122" s="178"/>
      <c r="L122" s="178"/>
      <c r="M122" s="178"/>
      <c r="N122" s="178"/>
      <c r="O122" s="178"/>
    </row>
    <row r="123" spans="1:15" x14ac:dyDescent="0.25">
      <c r="A123" s="178"/>
      <c r="B123" s="178"/>
      <c r="C123" s="178"/>
      <c r="D123" s="178"/>
      <c r="E123" s="178"/>
      <c r="F123" s="178"/>
      <c r="G123" s="178"/>
      <c r="H123" s="178"/>
      <c r="I123" s="178"/>
      <c r="J123" s="178"/>
      <c r="K123" s="178"/>
      <c r="L123" s="178"/>
      <c r="M123" s="178"/>
      <c r="N123" s="178"/>
      <c r="O123" s="178"/>
    </row>
    <row r="124" spans="1:15" x14ac:dyDescent="0.25">
      <c r="A124" s="178"/>
      <c r="B124" s="178"/>
      <c r="C124" s="178"/>
      <c r="D124" s="178"/>
      <c r="E124" s="178"/>
      <c r="F124" s="178"/>
      <c r="G124" s="178"/>
      <c r="H124" s="178"/>
      <c r="I124" s="178"/>
      <c r="J124" s="178"/>
      <c r="K124" s="178"/>
      <c r="L124" s="178"/>
      <c r="M124" s="178"/>
      <c r="N124" s="178"/>
      <c r="O124" s="178"/>
    </row>
    <row r="125" spans="1:15" x14ac:dyDescent="0.25">
      <c r="A125" s="178"/>
      <c r="B125" s="178"/>
      <c r="C125" s="178"/>
      <c r="D125" s="178"/>
      <c r="E125" s="178"/>
      <c r="F125" s="178"/>
      <c r="G125" s="178"/>
      <c r="H125" s="178"/>
      <c r="I125" s="178"/>
      <c r="J125" s="178"/>
      <c r="K125" s="178"/>
      <c r="L125" s="178"/>
      <c r="M125" s="178"/>
      <c r="N125" s="178"/>
      <c r="O125" s="178"/>
    </row>
    <row r="126" spans="1:15" x14ac:dyDescent="0.25">
      <c r="A126" s="178"/>
      <c r="B126" s="178"/>
      <c r="C126" s="178"/>
      <c r="D126" s="178"/>
      <c r="E126" s="178"/>
      <c r="F126" s="178"/>
      <c r="G126" s="178"/>
      <c r="H126" s="178"/>
      <c r="I126" s="178"/>
      <c r="J126" s="178"/>
      <c r="K126" s="178"/>
      <c r="L126" s="178"/>
      <c r="M126" s="178"/>
      <c r="N126" s="178"/>
      <c r="O126" s="178"/>
    </row>
    <row r="127" spans="1:15" x14ac:dyDescent="0.25">
      <c r="A127" s="178"/>
      <c r="B127" s="178"/>
      <c r="C127" s="178"/>
      <c r="D127" s="178"/>
      <c r="E127" s="178"/>
      <c r="F127" s="178"/>
      <c r="G127" s="178"/>
      <c r="H127" s="178"/>
      <c r="I127" s="178"/>
      <c r="J127" s="178"/>
      <c r="K127" s="178"/>
      <c r="L127" s="178"/>
      <c r="M127" s="178"/>
      <c r="N127" s="178"/>
      <c r="O127" s="178"/>
    </row>
    <row r="128" spans="1:15" x14ac:dyDescent="0.25">
      <c r="A128" s="178"/>
      <c r="B128" s="178"/>
      <c r="C128" s="178"/>
      <c r="D128" s="178"/>
      <c r="E128" s="178"/>
      <c r="F128" s="178"/>
      <c r="G128" s="178"/>
      <c r="H128" s="178"/>
      <c r="I128" s="178"/>
      <c r="J128" s="178"/>
      <c r="K128" s="178"/>
      <c r="L128" s="178"/>
      <c r="M128" s="178"/>
      <c r="N128" s="178"/>
      <c r="O128" s="178"/>
    </row>
    <row r="129" spans="1:15" x14ac:dyDescent="0.25">
      <c r="A129" s="178"/>
      <c r="B129" s="178"/>
      <c r="C129" s="178"/>
      <c r="D129" s="178"/>
      <c r="E129" s="178"/>
      <c r="F129" s="178"/>
      <c r="G129" s="178"/>
      <c r="H129" s="178"/>
      <c r="I129" s="178"/>
      <c r="J129" s="178"/>
      <c r="K129" s="178"/>
      <c r="L129" s="178"/>
      <c r="M129" s="178"/>
      <c r="N129" s="178"/>
      <c r="O129" s="178"/>
    </row>
    <row r="130" spans="1:15" x14ac:dyDescent="0.25">
      <c r="A130" s="178"/>
      <c r="B130" s="178"/>
      <c r="C130" s="178"/>
      <c r="D130" s="178"/>
      <c r="E130" s="178"/>
      <c r="F130" s="178"/>
      <c r="G130" s="178"/>
      <c r="H130" s="178"/>
      <c r="I130" s="178"/>
      <c r="J130" s="178"/>
      <c r="K130" s="178"/>
      <c r="L130" s="178"/>
      <c r="M130" s="178"/>
      <c r="N130" s="178"/>
      <c r="O130" s="178"/>
    </row>
    <row r="131" spans="1:15" x14ac:dyDescent="0.25">
      <c r="A131" s="178"/>
      <c r="B131" s="178"/>
      <c r="C131" s="178"/>
      <c r="D131" s="178"/>
      <c r="E131" s="178"/>
      <c r="F131" s="178"/>
      <c r="G131" s="178"/>
      <c r="H131" s="178"/>
      <c r="I131" s="178"/>
      <c r="J131" s="178"/>
      <c r="K131" s="178"/>
      <c r="L131" s="178"/>
      <c r="M131" s="178"/>
      <c r="N131" s="178"/>
      <c r="O131" s="178"/>
    </row>
    <row r="132" spans="1:15" x14ac:dyDescent="0.25">
      <c r="A132" s="178"/>
      <c r="B132" s="178"/>
      <c r="C132" s="178"/>
      <c r="D132" s="178"/>
      <c r="E132" s="178"/>
      <c r="F132" s="178"/>
      <c r="G132" s="178"/>
      <c r="H132" s="178"/>
      <c r="I132" s="178"/>
      <c r="J132" s="178"/>
      <c r="K132" s="178"/>
      <c r="L132" s="178"/>
      <c r="M132" s="178"/>
      <c r="N132" s="178"/>
      <c r="O132" s="178"/>
    </row>
    <row r="133" spans="1:15" x14ac:dyDescent="0.25">
      <c r="A133" s="178"/>
      <c r="B133" s="178"/>
      <c r="C133" s="178"/>
      <c r="D133" s="178"/>
      <c r="E133" s="178"/>
      <c r="F133" s="178"/>
      <c r="G133" s="178"/>
      <c r="H133" s="178"/>
      <c r="I133" s="178"/>
      <c r="J133" s="178"/>
      <c r="K133" s="178"/>
      <c r="L133" s="178"/>
      <c r="M133" s="178"/>
      <c r="N133" s="178"/>
      <c r="O133" s="178"/>
    </row>
    <row r="134" spans="1:15" x14ac:dyDescent="0.25">
      <c r="A134" s="178"/>
      <c r="B134" s="178"/>
      <c r="C134" s="178"/>
      <c r="D134" s="178"/>
      <c r="E134" s="178"/>
      <c r="F134" s="178"/>
      <c r="G134" s="178"/>
      <c r="H134" s="178"/>
      <c r="I134" s="178"/>
      <c r="J134" s="178"/>
      <c r="K134" s="178"/>
      <c r="L134" s="178"/>
      <c r="M134" s="178"/>
      <c r="N134" s="178"/>
      <c r="O134" s="178"/>
    </row>
    <row r="135" spans="1:15" x14ac:dyDescent="0.25">
      <c r="A135" s="178"/>
      <c r="B135" s="178"/>
      <c r="C135" s="178"/>
      <c r="D135" s="178"/>
      <c r="E135" s="178"/>
      <c r="F135" s="178"/>
      <c r="G135" s="178"/>
      <c r="H135" s="178"/>
      <c r="I135" s="178"/>
      <c r="J135" s="178"/>
      <c r="K135" s="178"/>
      <c r="L135" s="178"/>
      <c r="M135" s="178"/>
      <c r="N135" s="178"/>
      <c r="O135" s="178"/>
    </row>
    <row r="136" spans="1:15" x14ac:dyDescent="0.25">
      <c r="A136" s="178"/>
      <c r="B136" s="178"/>
      <c r="C136" s="178"/>
      <c r="D136" s="178"/>
      <c r="E136" s="178"/>
      <c r="F136" s="178"/>
      <c r="G136" s="178"/>
      <c r="H136" s="178"/>
      <c r="I136" s="178"/>
      <c r="J136" s="178"/>
      <c r="K136" s="178"/>
      <c r="L136" s="178"/>
      <c r="M136" s="178"/>
      <c r="N136" s="178"/>
      <c r="O136" s="178"/>
    </row>
    <row r="137" spans="1:15" x14ac:dyDescent="0.25">
      <c r="A137" s="178"/>
      <c r="B137" s="178"/>
      <c r="C137" s="178"/>
      <c r="D137" s="178"/>
      <c r="E137" s="178"/>
      <c r="F137" s="178"/>
      <c r="G137" s="178"/>
      <c r="H137" s="178"/>
      <c r="I137" s="178"/>
      <c r="J137" s="178"/>
      <c r="K137" s="178"/>
      <c r="L137" s="178"/>
      <c r="M137" s="178"/>
      <c r="N137" s="178"/>
      <c r="O137" s="178"/>
    </row>
    <row r="138" spans="1:15" x14ac:dyDescent="0.25">
      <c r="A138" s="178"/>
      <c r="B138" s="178"/>
      <c r="C138" s="178"/>
      <c r="D138" s="178"/>
      <c r="E138" s="178"/>
      <c r="F138" s="178"/>
      <c r="G138" s="178"/>
      <c r="H138" s="178"/>
      <c r="I138" s="178"/>
      <c r="J138" s="178"/>
      <c r="K138" s="178"/>
      <c r="L138" s="178"/>
      <c r="M138" s="178"/>
      <c r="N138" s="178"/>
      <c r="O138" s="178"/>
    </row>
    <row r="139" spans="1:15" x14ac:dyDescent="0.25">
      <c r="A139" s="178"/>
      <c r="B139" s="178"/>
      <c r="C139" s="178"/>
      <c r="D139" s="178"/>
      <c r="E139" s="178"/>
      <c r="F139" s="178"/>
      <c r="G139" s="178"/>
      <c r="H139" s="178"/>
      <c r="I139" s="178"/>
      <c r="J139" s="178"/>
      <c r="K139" s="178"/>
      <c r="L139" s="178"/>
      <c r="M139" s="178"/>
      <c r="N139" s="178"/>
      <c r="O139" s="178"/>
    </row>
    <row r="140" spans="1:15" x14ac:dyDescent="0.25">
      <c r="A140" s="178"/>
      <c r="B140" s="178"/>
      <c r="C140" s="178"/>
      <c r="D140" s="178"/>
      <c r="E140" s="178"/>
      <c r="F140" s="178"/>
      <c r="G140" s="178"/>
      <c r="H140" s="178"/>
      <c r="I140" s="178"/>
      <c r="J140" s="178"/>
      <c r="K140" s="178"/>
      <c r="L140" s="178"/>
      <c r="M140" s="178"/>
      <c r="N140" s="178"/>
      <c r="O140" s="178"/>
    </row>
  </sheetData>
  <sheetProtection password="C534" sheet="1" objects="1" scenarios="1" autoFilter="0"/>
  <mergeCells count="110">
    <mergeCell ref="B54:E54"/>
    <mergeCell ref="B53:E53"/>
    <mergeCell ref="B55:E55"/>
    <mergeCell ref="M6:N6"/>
    <mergeCell ref="M14:N14"/>
    <mergeCell ref="I8:J9"/>
    <mergeCell ref="B42:E42"/>
    <mergeCell ref="B41:E41"/>
    <mergeCell ref="G42:K42"/>
    <mergeCell ref="B37:E37"/>
    <mergeCell ref="G41:K41"/>
    <mergeCell ref="G40:K40"/>
    <mergeCell ref="B29:E29"/>
    <mergeCell ref="B27:E27"/>
    <mergeCell ref="B40:E40"/>
    <mergeCell ref="B39:E39"/>
    <mergeCell ref="B36:E36"/>
    <mergeCell ref="B38:E38"/>
    <mergeCell ref="G38:K38"/>
    <mergeCell ref="G27:K27"/>
    <mergeCell ref="I12:J12"/>
    <mergeCell ref="A10:E10"/>
    <mergeCell ref="D18:G18"/>
    <mergeCell ref="G28:K28"/>
    <mergeCell ref="G34:K34"/>
    <mergeCell ref="A33:K33"/>
    <mergeCell ref="A44:K44"/>
    <mergeCell ref="A1:K1"/>
    <mergeCell ref="D21:G21"/>
    <mergeCell ref="A6:E6"/>
    <mergeCell ref="A7:E7"/>
    <mergeCell ref="G6:K6"/>
    <mergeCell ref="D20:G20"/>
    <mergeCell ref="A14:B14"/>
    <mergeCell ref="A4:E4"/>
    <mergeCell ref="A5:E5"/>
    <mergeCell ref="E8:F8"/>
    <mergeCell ref="E9:F9"/>
    <mergeCell ref="A9:B9"/>
    <mergeCell ref="C9:D9"/>
    <mergeCell ref="D17:G17"/>
    <mergeCell ref="D15:G15"/>
    <mergeCell ref="D16:G16"/>
    <mergeCell ref="G3:K3"/>
    <mergeCell ref="G4:K4"/>
    <mergeCell ref="J7:K7"/>
    <mergeCell ref="D14:G14"/>
    <mergeCell ref="G7:H7"/>
    <mergeCell ref="A3:E3"/>
    <mergeCell ref="A22:E22"/>
    <mergeCell ref="A23:K23"/>
    <mergeCell ref="B26:E26"/>
    <mergeCell ref="G25:K25"/>
    <mergeCell ref="B25:E25"/>
    <mergeCell ref="G22:K22"/>
    <mergeCell ref="B24:E24"/>
    <mergeCell ref="G24:K24"/>
    <mergeCell ref="G26:K26"/>
    <mergeCell ref="G5:K5"/>
    <mergeCell ref="A12:G12"/>
    <mergeCell ref="A8:B8"/>
    <mergeCell ref="C8:D8"/>
    <mergeCell ref="B31:E31"/>
    <mergeCell ref="B30:E30"/>
    <mergeCell ref="B34:E34"/>
    <mergeCell ref="B35:E35"/>
    <mergeCell ref="B28:E28"/>
    <mergeCell ref="G30:K30"/>
    <mergeCell ref="G53:K53"/>
    <mergeCell ref="G54:K54"/>
    <mergeCell ref="G29:K29"/>
    <mergeCell ref="G36:K36"/>
    <mergeCell ref="G37:K37"/>
    <mergeCell ref="G35:K35"/>
    <mergeCell ref="B45:D45"/>
    <mergeCell ref="E45:G45"/>
    <mergeCell ref="H45:K45"/>
    <mergeCell ref="H46:K46"/>
    <mergeCell ref="H47:K47"/>
    <mergeCell ref="H48:K48"/>
    <mergeCell ref="H49:K49"/>
    <mergeCell ref="H50:K50"/>
    <mergeCell ref="B46:D46"/>
    <mergeCell ref="B47:D47"/>
    <mergeCell ref="B48:D48"/>
    <mergeCell ref="G31:K31"/>
    <mergeCell ref="B64:E64"/>
    <mergeCell ref="G64:K64"/>
    <mergeCell ref="B62:E62"/>
    <mergeCell ref="G62:K62"/>
    <mergeCell ref="B63:E63"/>
    <mergeCell ref="B59:F59"/>
    <mergeCell ref="A61:K61"/>
    <mergeCell ref="G63:K63"/>
    <mergeCell ref="G39:K39"/>
    <mergeCell ref="H59:I59"/>
    <mergeCell ref="J59:K59"/>
    <mergeCell ref="A57:K57"/>
    <mergeCell ref="B49:D49"/>
    <mergeCell ref="E46:G46"/>
    <mergeCell ref="E47:G47"/>
    <mergeCell ref="E48:G48"/>
    <mergeCell ref="E49:G49"/>
    <mergeCell ref="B58:F58"/>
    <mergeCell ref="H58:I58"/>
    <mergeCell ref="J58:K58"/>
    <mergeCell ref="B50:D50"/>
    <mergeCell ref="E50:G50"/>
    <mergeCell ref="G55:K55"/>
    <mergeCell ref="A52:K52"/>
  </mergeCells>
  <phoneticPr fontId="2" type="noConversion"/>
  <conditionalFormatting sqref="I17 G62:K64 I14 K9:K10 G8:G9 J58:J59">
    <cfRule type="cellIs" dxfId="39" priority="1" stopIfTrue="1" operator="notEqual">
      <formula>0</formula>
    </cfRule>
  </conditionalFormatting>
  <conditionalFormatting sqref="H28:K28 H25:K26 G3:K3 G7:H7 J7:K7 G10 H30:K31 G25:G31 G60:K60 B46:K50 G53:K56 G51:K51 G34:K37 G39:K43 G24:K24">
    <cfRule type="cellIs" dxfId="38" priority="2" stopIfTrue="1" operator="notEqual">
      <formula>""</formula>
    </cfRule>
  </conditionalFormatting>
  <conditionalFormatting sqref="G4:K4 C9:D9 G58:G59">
    <cfRule type="cellIs" dxfId="37" priority="3" stopIfTrue="1" operator="notEqual">
      <formula>"00/00/0000"</formula>
    </cfRule>
  </conditionalFormatting>
  <conditionalFormatting sqref="G6:K6 I12:J12 G22 G38:K38">
    <cfRule type="cellIs" dxfId="36" priority="4" stopIfTrue="1" operator="notEqual">
      <formula>"Maak uw keuze"</formula>
    </cfRule>
  </conditionalFormatting>
  <conditionalFormatting sqref="I20">
    <cfRule type="cellIs" dxfId="35" priority="5" stopIfTrue="1" operator="notEqual">
      <formula>100</formula>
    </cfRule>
  </conditionalFormatting>
  <conditionalFormatting sqref="K8">
    <cfRule type="cellIs" dxfId="34" priority="6" stopIfTrue="1" operator="notEqual">
      <formula>FALSE</formula>
    </cfRule>
  </conditionalFormatting>
  <conditionalFormatting sqref="G5:K5">
    <cfRule type="cellIs" dxfId="33" priority="7" stopIfTrue="1" operator="notEqual">
      <formula>"VERSIE 25"</formula>
    </cfRule>
  </conditionalFormatting>
  <dataValidations count="4">
    <dataValidation type="list" allowBlank="1" showInputMessage="1" showErrorMessage="1" sqref="G6:K6" xr:uid="{00000000-0002-0000-0100-000000000000}">
      <formula1>Evenementen</formula1>
    </dataValidation>
    <dataValidation type="list" allowBlank="1" showInputMessage="1" showErrorMessage="1" sqref="I12:J12" xr:uid="{00000000-0002-0000-0100-000001000000}">
      <formula1>"maak uw keuze,ja,neen"</formula1>
    </dataValidation>
    <dataValidation type="list" allowBlank="1" showInputMessage="1" showErrorMessage="1" sqref="G22" xr:uid="{00000000-0002-0000-0100-000002000000}">
      <formula1>"Maak uw keuze,ja,neen"</formula1>
    </dataValidation>
    <dataValidation type="list" allowBlank="1" showInputMessage="1" showErrorMessage="1" sqref="G38:K38" xr:uid="{00000000-0002-0000-0100-000003000000}">
      <formula1>"Maak uw keuze,Operationeel,Administratief"</formula1>
    </dataValidation>
  </dataValidations>
  <pageMargins left="0.36" right="0.34" top="0.49" bottom="0.68" header="0.26" footer="0.5"/>
  <pageSetup paperSize="9" scale="90" orientation="landscape" verticalDpi="2" r:id="rId1"/>
  <headerFooter alignWithMargins="0">
    <oddHeader>&amp;L&amp;"Arial,Gras Italique"&amp;8PRIMA - LUIK 1&amp;C&amp;"Arial,Gras Italique"&amp;8ALGEMENE GEGEVENS</oddHeader>
    <oddFooter>&amp;R&amp;P</oddFooter>
  </headerFooter>
  <drawing r:id="rId2"/>
  <legacyDrawing r:id="rId3"/>
  <controls>
    <mc:AlternateContent xmlns:mc="http://schemas.openxmlformats.org/markup-compatibility/2006">
      <mc:Choice Requires="x14">
        <control shapeId="11352" r:id="rId4" name="CommandButton1">
          <controlPr defaultSize="0" autoLine="0" r:id="rId5">
            <anchor moveWithCells="1">
              <from>
                <xdr:col>0</xdr:col>
                <xdr:colOff>69850</xdr:colOff>
                <xdr:row>65</xdr:row>
                <xdr:rowOff>0</xdr:rowOff>
              </from>
              <to>
                <xdr:col>9</xdr:col>
                <xdr:colOff>469900</xdr:colOff>
                <xdr:row>67</xdr:row>
                <xdr:rowOff>25400</xdr:rowOff>
              </to>
            </anchor>
          </controlPr>
        </control>
      </mc:Choice>
      <mc:Fallback>
        <control shapeId="11352" r:id="rId4" name="CommandButton1"/>
      </mc:Fallback>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8">
    <tabColor indexed="51"/>
  </sheetPr>
  <dimension ref="A1:H140"/>
  <sheetViews>
    <sheetView view="pageBreakPreview" zoomScale="60" zoomScaleNormal="70" workbookViewId="0">
      <selection activeCell="C3" sqref="C3"/>
    </sheetView>
  </sheetViews>
  <sheetFormatPr defaultColWidth="9.1796875" defaultRowHeight="15.5" x14ac:dyDescent="0.35"/>
  <cols>
    <col min="1" max="1" width="22.54296875" style="328" bestFit="1" customWidth="1"/>
    <col min="2" max="2" width="30.81640625" style="328" bestFit="1" customWidth="1"/>
    <col min="3" max="3" width="51.26953125" style="328" customWidth="1"/>
    <col min="4" max="4" width="54.1796875" style="318" customWidth="1"/>
    <col min="5" max="5" width="9.26953125" style="326" customWidth="1"/>
    <col min="6" max="6" width="9.453125" style="326" customWidth="1"/>
    <col min="7" max="7" width="6.81640625" style="318" customWidth="1"/>
    <col min="8" max="8" width="46.453125" style="318" customWidth="1"/>
    <col min="9" max="16384" width="9.1796875" style="318"/>
  </cols>
  <sheetData>
    <row r="1" spans="1:8" x14ac:dyDescent="0.35">
      <c r="C1" s="1722" t="str">
        <f>CIJFERS!C41</f>
        <v>ICM - Buitendienst Antwerpen - Advies voor risicomanifestaties (PRIMA)</v>
      </c>
      <c r="D1" s="1722"/>
      <c r="E1" s="1722"/>
    </row>
    <row r="2" spans="1:8" x14ac:dyDescent="0.35">
      <c r="C2" s="1722" t="str">
        <f>CIJFERS!C36</f>
        <v>icm.antwerpen@health.fgov.be</v>
      </c>
      <c r="D2" s="1722"/>
      <c r="E2" s="1722"/>
    </row>
    <row r="4" spans="1:8" ht="18" x14ac:dyDescent="0.35">
      <c r="A4" s="1641" t="s">
        <v>867</v>
      </c>
      <c r="B4" s="1641"/>
      <c r="C4" s="1641"/>
      <c r="D4" s="1641"/>
      <c r="E4" s="1641"/>
      <c r="H4" s="930"/>
    </row>
    <row r="5" spans="1:8" x14ac:dyDescent="0.35">
      <c r="H5" s="930"/>
    </row>
    <row r="6" spans="1:8" x14ac:dyDescent="0.35">
      <c r="A6" s="1647" t="s">
        <v>868</v>
      </c>
      <c r="B6" s="1647"/>
      <c r="C6" s="1647"/>
      <c r="D6" s="1647"/>
      <c r="E6" s="1647"/>
    </row>
    <row r="7" spans="1:8" ht="16" thickBot="1" x14ac:dyDescent="0.4"/>
    <row r="8" spans="1:8" ht="16" thickBot="1" x14ac:dyDescent="0.4">
      <c r="A8" s="1724" t="str">
        <f>INTERPRETATIE!D37</f>
        <v>Moeten er maatregelen genomen worden voor omwonenden</v>
      </c>
      <c r="B8" s="1725"/>
      <c r="C8" s="1726"/>
      <c r="D8" s="1726"/>
      <c r="E8" s="512" t="str">
        <f>INTERPRETATIE!$G37</f>
        <v>NEEN</v>
      </c>
    </row>
    <row r="9" spans="1:8" ht="16" thickBot="1" x14ac:dyDescent="0.4">
      <c r="F9" s="381" t="s">
        <v>941</v>
      </c>
    </row>
    <row r="10" spans="1:8" ht="48.75" customHeight="1" x14ac:dyDescent="0.35">
      <c r="A10" s="1727" t="s">
        <v>1474</v>
      </c>
      <c r="B10" s="1728"/>
      <c r="C10" s="1667" t="s">
        <v>538</v>
      </c>
      <c r="D10" s="1668"/>
      <c r="E10" s="359"/>
      <c r="F10" s="510">
        <f>RESULTATEN!$H43</f>
        <v>0</v>
      </c>
    </row>
    <row r="11" spans="1:8" ht="52.5" customHeight="1" x14ac:dyDescent="0.35">
      <c r="A11" s="1660" t="s">
        <v>1475</v>
      </c>
      <c r="B11" s="1661"/>
      <c r="C11" s="1662" t="s">
        <v>1840</v>
      </c>
      <c r="D11" s="1663"/>
      <c r="E11" s="359"/>
      <c r="F11" s="511">
        <f>RESULTATEN!$H44</f>
        <v>0</v>
      </c>
    </row>
    <row r="12" spans="1:8" x14ac:dyDescent="0.35">
      <c r="A12" s="1729" t="s">
        <v>36</v>
      </c>
      <c r="B12" s="1730"/>
      <c r="C12" s="1693" t="s">
        <v>1841</v>
      </c>
      <c r="D12" s="1694"/>
      <c r="E12" s="359"/>
      <c r="F12" s="511">
        <f>RESULTATEN!$H45</f>
        <v>0</v>
      </c>
    </row>
    <row r="13" spans="1:8" x14ac:dyDescent="0.35">
      <c r="A13" s="1731"/>
      <c r="B13" s="1732"/>
      <c r="C13" s="1695" t="s">
        <v>153</v>
      </c>
      <c r="D13" s="1696"/>
      <c r="E13" s="359"/>
      <c r="F13" s="511">
        <f>RESULTATEN!$H46</f>
        <v>0</v>
      </c>
    </row>
    <row r="14" spans="1:8" ht="29.25" customHeight="1" x14ac:dyDescent="0.35">
      <c r="A14" s="1729" t="s">
        <v>37</v>
      </c>
      <c r="B14" s="1730"/>
      <c r="C14" s="1693" t="s">
        <v>1302</v>
      </c>
      <c r="D14" s="1694"/>
      <c r="E14" s="359"/>
      <c r="F14" s="511">
        <f>RESULTATEN!$H47</f>
        <v>0</v>
      </c>
    </row>
    <row r="15" spans="1:8" x14ac:dyDescent="0.35">
      <c r="A15" s="1731"/>
      <c r="B15" s="1732"/>
      <c r="C15" s="1695" t="s">
        <v>1103</v>
      </c>
      <c r="D15" s="1696"/>
      <c r="E15" s="359"/>
      <c r="F15" s="511">
        <f>RESULTATEN!$H48</f>
        <v>0</v>
      </c>
    </row>
    <row r="16" spans="1:8" ht="33" customHeight="1" x14ac:dyDescent="0.35">
      <c r="A16" s="1660" t="s">
        <v>155</v>
      </c>
      <c r="B16" s="1661"/>
      <c r="C16" s="1662" t="s">
        <v>1523</v>
      </c>
      <c r="D16" s="1663"/>
      <c r="E16" s="359"/>
      <c r="F16" s="511">
        <f>RESULTATEN!$H49</f>
        <v>0</v>
      </c>
    </row>
    <row r="17" spans="1:6" x14ac:dyDescent="0.35">
      <c r="A17" s="1660" t="s">
        <v>39</v>
      </c>
      <c r="B17" s="1661"/>
      <c r="C17" s="1662" t="s">
        <v>1104</v>
      </c>
      <c r="D17" s="1663"/>
      <c r="E17" s="359"/>
      <c r="F17" s="511">
        <f>RESULTATEN!$H50</f>
        <v>0</v>
      </c>
    </row>
    <row r="18" spans="1:6" x14ac:dyDescent="0.35">
      <c r="A18" s="1660" t="s">
        <v>40</v>
      </c>
      <c r="B18" s="1661"/>
      <c r="C18" s="1662" t="s">
        <v>157</v>
      </c>
      <c r="D18" s="1663"/>
      <c r="E18" s="359"/>
      <c r="F18" s="511">
        <f>RESULTATEN!$H51</f>
        <v>0</v>
      </c>
    </row>
    <row r="19" spans="1:6" ht="16" thickBot="1" x14ac:dyDescent="0.4">
      <c r="A19" s="1690" t="s">
        <v>2202</v>
      </c>
      <c r="B19" s="1691"/>
      <c r="C19" s="1691"/>
      <c r="D19" s="1692"/>
      <c r="F19" s="362">
        <f>IF(OR(F10=1,F11=1,F12=1,F13=1,F14=1,F15=1,F16=1,F17=1,F18=1),0,1)</f>
        <v>1</v>
      </c>
    </row>
    <row r="20" spans="1:6" x14ac:dyDescent="0.35">
      <c r="F20" s="326">
        <v>1</v>
      </c>
    </row>
    <row r="21" spans="1:6" x14ac:dyDescent="0.35">
      <c r="A21" s="1647" t="s">
        <v>869</v>
      </c>
      <c r="B21" s="1647"/>
      <c r="C21" s="1647"/>
      <c r="D21" s="1647"/>
      <c r="E21" s="1647"/>
      <c r="F21" s="326">
        <v>1</v>
      </c>
    </row>
    <row r="22" spans="1:6" ht="16" thickBot="1" x14ac:dyDescent="0.4">
      <c r="F22" s="326">
        <v>1</v>
      </c>
    </row>
    <row r="23" spans="1:6" ht="16" thickBot="1" x14ac:dyDescent="0.4">
      <c r="A23" s="1724" t="str">
        <f>INTERPRETATIE!D74</f>
        <v>Is een multidisciplinaire bijsturing noodzakelijk</v>
      </c>
      <c r="B23" s="1725">
        <f>INTERPRETATIE!E74</f>
        <v>0</v>
      </c>
      <c r="C23" s="1726"/>
      <c r="D23" s="1726">
        <f>INTERPRETATIE!F74</f>
        <v>0</v>
      </c>
      <c r="E23" s="512" t="str">
        <f>INTERPRETATIE!G74</f>
        <v>JA</v>
      </c>
      <c r="F23" s="326">
        <v>1</v>
      </c>
    </row>
    <row r="24" spans="1:6" ht="16" thickBot="1" x14ac:dyDescent="0.4">
      <c r="F24" s="326">
        <v>1</v>
      </c>
    </row>
    <row r="25" spans="1:6" ht="64.5" customHeight="1" x14ac:dyDescent="0.35">
      <c r="A25" s="1727" t="s">
        <v>1278</v>
      </c>
      <c r="B25" s="1728"/>
      <c r="C25" s="1667" t="s">
        <v>1105</v>
      </c>
      <c r="D25" s="1668"/>
      <c r="E25" s="359"/>
      <c r="F25" s="379">
        <f>IF('LUIK3 + SCORE'!I66=0,0,"1")</f>
        <v>0</v>
      </c>
    </row>
    <row r="26" spans="1:6" ht="34.5" customHeight="1" x14ac:dyDescent="0.35">
      <c r="A26" s="1660" t="s">
        <v>1549</v>
      </c>
      <c r="B26" s="1661"/>
      <c r="C26" s="1662" t="s">
        <v>1476</v>
      </c>
      <c r="D26" s="1663"/>
      <c r="E26" s="359"/>
      <c r="F26" s="835">
        <f>'LUIK3 + SCORE'!$I$67</f>
        <v>0</v>
      </c>
    </row>
    <row r="27" spans="1:6" x14ac:dyDescent="0.35">
      <c r="A27" s="1660" t="s">
        <v>900</v>
      </c>
      <c r="B27" s="1661"/>
      <c r="C27" s="1662" t="s">
        <v>1477</v>
      </c>
      <c r="D27" s="1663"/>
      <c r="E27" s="359"/>
      <c r="F27" s="511">
        <f>'LUIK3 + SCORE'!I68</f>
        <v>0</v>
      </c>
    </row>
    <row r="28" spans="1:6" ht="36" customHeight="1" x14ac:dyDescent="0.35">
      <c r="A28" s="1660" t="s">
        <v>1553</v>
      </c>
      <c r="B28" s="1661"/>
      <c r="C28" s="1662" t="s">
        <v>1604</v>
      </c>
      <c r="D28" s="1663"/>
      <c r="E28" s="359"/>
      <c r="F28" s="511">
        <f>'LUIK3 + SCORE'!I69</f>
        <v>0</v>
      </c>
    </row>
    <row r="29" spans="1:6" ht="36" customHeight="1" x14ac:dyDescent="0.35">
      <c r="A29" s="1657" t="s">
        <v>1908</v>
      </c>
      <c r="B29" s="1661"/>
      <c r="C29" s="1662" t="s">
        <v>1670</v>
      </c>
      <c r="D29" s="1663"/>
      <c r="E29" s="359"/>
      <c r="F29" s="835">
        <f>IF('LUIK3 + SCORE'!I46=1,1,0)</f>
        <v>0</v>
      </c>
    </row>
    <row r="30" spans="1:6" ht="55.5" customHeight="1" x14ac:dyDescent="0.35">
      <c r="A30" s="1657" t="s">
        <v>2283</v>
      </c>
      <c r="B30" s="1661"/>
      <c r="C30" s="1662" t="s">
        <v>2285</v>
      </c>
      <c r="D30" s="1663"/>
      <c r="E30" s="359"/>
      <c r="F30" s="835">
        <f>IF('LUIK3 + SCORE'!E42="&lt; 10 jaar met begeleiding van de ouders",1,IF('LUIK3 + SCORE'!E42="alle leeftijden",1,0))</f>
        <v>0</v>
      </c>
    </row>
    <row r="31" spans="1:6" ht="55.5" customHeight="1" x14ac:dyDescent="0.35">
      <c r="A31" s="1657" t="s">
        <v>1179</v>
      </c>
      <c r="B31" s="1661"/>
      <c r="C31" s="1662" t="s">
        <v>1671</v>
      </c>
      <c r="D31" s="1663"/>
      <c r="E31" s="359"/>
      <c r="F31" s="835">
        <f>IF('LUIK3 + SCORE'!E42="&lt; 10 jaar zonder begeleiding van de ouders",1,0)</f>
        <v>0</v>
      </c>
    </row>
    <row r="32" spans="1:6" ht="36" customHeight="1" x14ac:dyDescent="0.35">
      <c r="A32" s="1657" t="s">
        <v>2284</v>
      </c>
      <c r="B32" s="1661"/>
      <c r="C32" s="1662" t="s">
        <v>1672</v>
      </c>
      <c r="D32" s="1663"/>
      <c r="E32" s="359"/>
      <c r="F32" s="835">
        <f>IF('LUIK3 + SCORE'!E44="Overvloedig gebruik",1,0)</f>
        <v>0</v>
      </c>
    </row>
    <row r="33" spans="1:8" x14ac:dyDescent="0.35">
      <c r="A33" s="1657" t="s">
        <v>1376</v>
      </c>
      <c r="B33" s="1661"/>
      <c r="C33" s="839" t="s">
        <v>1378</v>
      </c>
      <c r="D33" s="840"/>
      <c r="E33" s="359"/>
      <c r="F33" s="511">
        <f>'LUIK3 + SCORE'!I70</f>
        <v>0</v>
      </c>
    </row>
    <row r="34" spans="1:8" x14ac:dyDescent="0.35">
      <c r="A34" s="1658" t="s">
        <v>1377</v>
      </c>
      <c r="B34" s="1659"/>
      <c r="C34" s="1662" t="s">
        <v>1379</v>
      </c>
      <c r="D34" s="1663"/>
      <c r="E34" s="359"/>
      <c r="F34" s="511">
        <f>'LUIK3 + SCORE'!I71</f>
        <v>0</v>
      </c>
    </row>
    <row r="35" spans="1:8" ht="66.75" customHeight="1" x14ac:dyDescent="0.35">
      <c r="A35" s="1658" t="s">
        <v>325</v>
      </c>
      <c r="B35" s="1659"/>
      <c r="C35" s="1662" t="s">
        <v>1478</v>
      </c>
      <c r="D35" s="1663"/>
      <c r="E35" s="359"/>
      <c r="F35" s="511">
        <f>'LUIK3 + SCORE'!I72</f>
        <v>0</v>
      </c>
      <c r="H35" s="315"/>
    </row>
    <row r="36" spans="1:8" ht="32.25" customHeight="1" x14ac:dyDescent="0.35">
      <c r="A36" s="1658" t="s">
        <v>1852</v>
      </c>
      <c r="B36" s="1659"/>
      <c r="C36" s="1662" t="s">
        <v>1480</v>
      </c>
      <c r="D36" s="1663"/>
      <c r="E36" s="359"/>
      <c r="F36" s="511">
        <f>'LUIK3 + SCORE'!I73</f>
        <v>0</v>
      </c>
    </row>
    <row r="37" spans="1:8" x14ac:dyDescent="0.35">
      <c r="A37" s="1658" t="s">
        <v>326</v>
      </c>
      <c r="B37" s="1659"/>
      <c r="C37" s="1662" t="s">
        <v>1925</v>
      </c>
      <c r="D37" s="1663"/>
      <c r="E37" s="359"/>
      <c r="F37" s="511">
        <f>'LUIK3 + SCORE'!I74</f>
        <v>0</v>
      </c>
    </row>
    <row r="38" spans="1:8" x14ac:dyDescent="0.35">
      <c r="A38" s="1791" t="s">
        <v>1557</v>
      </c>
      <c r="B38" s="1792"/>
      <c r="C38" s="1662" t="s">
        <v>1926</v>
      </c>
      <c r="D38" s="1663"/>
      <c r="E38" s="359"/>
      <c r="F38" s="511">
        <f>'LUIK3 + SCORE'!I75</f>
        <v>0</v>
      </c>
    </row>
    <row r="39" spans="1:8" ht="15" customHeight="1" x14ac:dyDescent="0.35">
      <c r="A39" s="1791" t="s">
        <v>1558</v>
      </c>
      <c r="B39" s="1792"/>
      <c r="C39" s="1662" t="s">
        <v>1927</v>
      </c>
      <c r="D39" s="1663"/>
      <c r="E39" s="359"/>
      <c r="F39" s="511">
        <f>'LUIK3 + SCORE'!I76</f>
        <v>0</v>
      </c>
    </row>
    <row r="40" spans="1:8" ht="30.75" customHeight="1" x14ac:dyDescent="0.35">
      <c r="A40" s="1791" t="s">
        <v>1559</v>
      </c>
      <c r="B40" s="1792"/>
      <c r="C40" s="1662" t="s">
        <v>469</v>
      </c>
      <c r="D40" s="1663"/>
      <c r="E40" s="359"/>
      <c r="F40" s="511">
        <f>'LUIK3 + SCORE'!I77</f>
        <v>0</v>
      </c>
    </row>
    <row r="41" spans="1:8" ht="38.25" customHeight="1" x14ac:dyDescent="0.35">
      <c r="A41" s="1633" t="s">
        <v>938</v>
      </c>
      <c r="B41" s="1633"/>
      <c r="C41" s="1634" t="s">
        <v>1309</v>
      </c>
      <c r="D41" s="1634"/>
      <c r="E41" s="359"/>
      <c r="F41" s="511">
        <f>'LUIK3 + SCORE'!I60</f>
        <v>0</v>
      </c>
    </row>
    <row r="42" spans="1:8" x14ac:dyDescent="0.35">
      <c r="A42" s="1660" t="s">
        <v>1853</v>
      </c>
      <c r="B42" s="1661"/>
      <c r="C42" s="1662" t="s">
        <v>2289</v>
      </c>
      <c r="D42" s="1663"/>
      <c r="E42" s="359"/>
      <c r="F42" s="835">
        <f>'LUIK3 + SCORE'!I78</f>
        <v>0</v>
      </c>
    </row>
    <row r="43" spans="1:8" ht="36" customHeight="1" x14ac:dyDescent="0.35">
      <c r="A43" s="1660" t="s">
        <v>1562</v>
      </c>
      <c r="B43" s="1661"/>
      <c r="C43" s="1662" t="s">
        <v>2233</v>
      </c>
      <c r="D43" s="1663"/>
      <c r="E43" s="359"/>
      <c r="F43" s="511">
        <f>'LUIK3 + SCORE'!I79</f>
        <v>0</v>
      </c>
    </row>
    <row r="44" spans="1:8" ht="51.75" customHeight="1" x14ac:dyDescent="0.35">
      <c r="A44" s="1790" t="s">
        <v>2204</v>
      </c>
      <c r="B44" s="1779"/>
      <c r="C44" s="1788" t="s">
        <v>2282</v>
      </c>
      <c r="D44" s="1789"/>
      <c r="E44" s="359"/>
      <c r="F44" s="511">
        <f>'LUIK3 + SCORE'!I104</f>
        <v>1</v>
      </c>
    </row>
    <row r="45" spans="1:8" x14ac:dyDescent="0.35">
      <c r="A45" s="1794" t="s">
        <v>939</v>
      </c>
      <c r="B45" s="1795"/>
      <c r="C45" s="1796">
        <f>INTERPRETATIE!K16</f>
        <v>-10</v>
      </c>
      <c r="D45" s="1797"/>
      <c r="E45" s="359"/>
      <c r="F45" s="511">
        <f>'LUIK3 + SCORE'!I104</f>
        <v>1</v>
      </c>
    </row>
    <row r="46" spans="1:8" ht="16" thickBot="1" x14ac:dyDescent="0.4">
      <c r="A46" s="1690" t="s">
        <v>2202</v>
      </c>
      <c r="B46" s="1691"/>
      <c r="C46" s="1691"/>
      <c r="D46" s="1692"/>
      <c r="F46" s="380">
        <f>IF(OR(F25=1,F26=1,F27=1,F28=1,F29=1,F33=1,F34=1,F35=1,F36=1,F37=1,F38=1,F39=1,F40=1,F41=1,F42=1,F43=1,F44=1,F45=1),0,1)</f>
        <v>0</v>
      </c>
    </row>
    <row r="47" spans="1:8" x14ac:dyDescent="0.35">
      <c r="F47" s="1038">
        <f>F48</f>
        <v>1</v>
      </c>
      <c r="H47" s="1036"/>
    </row>
    <row r="48" spans="1:8" s="1034" customFormat="1" x14ac:dyDescent="0.35">
      <c r="A48" s="1647" t="s">
        <v>212</v>
      </c>
      <c r="B48" s="1647"/>
      <c r="C48" s="1647"/>
      <c r="D48" s="1647"/>
      <c r="E48" s="1033"/>
      <c r="F48" s="1039">
        <f>IF(AND(F50=0,F51=0,F52=0,F53=0,F54=0,F55=0,F56=0,F58=0),0,1)</f>
        <v>1</v>
      </c>
      <c r="H48" s="1036"/>
    </row>
    <row r="49" spans="1:8" s="1034" customFormat="1" ht="16" thickBot="1" x14ac:dyDescent="0.4">
      <c r="A49" s="1026"/>
      <c r="B49" s="1026"/>
      <c r="C49" s="1026"/>
      <c r="D49" s="1026"/>
      <c r="E49" s="1033"/>
      <c r="F49" s="1039">
        <f>F48</f>
        <v>1</v>
      </c>
      <c r="H49" s="1036">
        <v>5</v>
      </c>
    </row>
    <row r="50" spans="1:8" ht="31.5" customHeight="1" x14ac:dyDescent="0.35">
      <c r="A50" s="1688" t="s">
        <v>1605</v>
      </c>
      <c r="B50" s="1689"/>
      <c r="C50" s="1733" t="s">
        <v>294</v>
      </c>
      <c r="D50" s="1734"/>
      <c r="F50" s="1040">
        <f>'LUIK3 + SCORE'!I81</f>
        <v>0</v>
      </c>
      <c r="H50" s="1037"/>
    </row>
    <row r="51" spans="1:8" x14ac:dyDescent="0.35">
      <c r="A51" s="1677" t="s">
        <v>1606</v>
      </c>
      <c r="B51" s="1678"/>
      <c r="C51" s="1679" t="str">
        <f>'LUIK3 + SCORE'!J82</f>
        <v>Maak uw keuze</v>
      </c>
      <c r="D51" s="1666"/>
      <c r="F51" s="1040">
        <f>'LUIK3 + SCORE'!I82</f>
        <v>0</v>
      </c>
      <c r="H51" s="1036"/>
    </row>
    <row r="52" spans="1:8" x14ac:dyDescent="0.35">
      <c r="A52" s="1675" t="s">
        <v>1811</v>
      </c>
      <c r="B52" s="1676"/>
      <c r="C52" s="1671" t="str">
        <f>'LUIK3 + SCORE'!E83</f>
        <v>Maak uw keuze</v>
      </c>
      <c r="D52" s="1666"/>
      <c r="F52" s="1040">
        <f>'LUIK3 + SCORE'!I83</f>
        <v>0</v>
      </c>
      <c r="H52" s="1036"/>
    </row>
    <row r="53" spans="1:8" ht="60" customHeight="1" x14ac:dyDescent="0.35">
      <c r="A53" s="1677" t="s">
        <v>1812</v>
      </c>
      <c r="B53" s="1678"/>
      <c r="C53" s="1673" t="s">
        <v>406</v>
      </c>
      <c r="D53" s="1674"/>
      <c r="F53" s="1040">
        <f>'LUIK3 + SCORE'!I84</f>
        <v>0</v>
      </c>
      <c r="H53" s="1036"/>
    </row>
    <row r="54" spans="1:8" x14ac:dyDescent="0.35">
      <c r="A54" s="1677" t="s">
        <v>1607</v>
      </c>
      <c r="B54" s="1678"/>
      <c r="C54" s="1673" t="s">
        <v>213</v>
      </c>
      <c r="D54" s="1674"/>
      <c r="F54" s="1040">
        <f>'LUIK3 + SCORE'!I85</f>
        <v>0</v>
      </c>
      <c r="H54" s="1036"/>
    </row>
    <row r="55" spans="1:8" ht="60.75" customHeight="1" x14ac:dyDescent="0.35">
      <c r="A55" s="1677" t="s">
        <v>1813</v>
      </c>
      <c r="B55" s="1678"/>
      <c r="C55" s="1673" t="s">
        <v>407</v>
      </c>
      <c r="D55" s="1674"/>
      <c r="F55" s="1040">
        <f>'LUIK3 + SCORE'!I86</f>
        <v>1</v>
      </c>
      <c r="H55" s="1037"/>
    </row>
    <row r="56" spans="1:8" x14ac:dyDescent="0.35">
      <c r="A56" s="1677" t="s">
        <v>1814</v>
      </c>
      <c r="B56" s="1678"/>
      <c r="C56" s="1673" t="str">
        <f>'LUIK3 + SCORE'!E87</f>
        <v>Maak uw keuze</v>
      </c>
      <c r="D56" s="1674"/>
      <c r="F56" s="1040">
        <v>1</v>
      </c>
      <c r="H56" s="1037"/>
    </row>
    <row r="57" spans="1:8" ht="30" customHeight="1" x14ac:dyDescent="0.35">
      <c r="A57" s="1675" t="s">
        <v>1816</v>
      </c>
      <c r="B57" s="1676"/>
      <c r="C57" s="1673" t="s">
        <v>1718</v>
      </c>
      <c r="D57" s="1674"/>
      <c r="F57" s="1040">
        <v>1</v>
      </c>
      <c r="H57" s="864"/>
    </row>
    <row r="58" spans="1:8" ht="47.25" customHeight="1" thickBot="1" x14ac:dyDescent="0.4">
      <c r="A58" s="1697" t="s">
        <v>1815</v>
      </c>
      <c r="B58" s="1698"/>
      <c r="C58" s="1699" t="s">
        <v>408</v>
      </c>
      <c r="D58" s="1700"/>
      <c r="F58" s="1040">
        <f>'LUIK3 + SCORE'!I89</f>
        <v>0</v>
      </c>
      <c r="H58" s="864"/>
    </row>
    <row r="59" spans="1:8" x14ac:dyDescent="0.35">
      <c r="A59" s="1035"/>
      <c r="B59" s="1035"/>
      <c r="F59" s="326">
        <v>1</v>
      </c>
      <c r="H59" s="864"/>
    </row>
    <row r="60" spans="1:8" x14ac:dyDescent="0.35">
      <c r="A60" s="1647" t="s">
        <v>870</v>
      </c>
      <c r="B60" s="1647"/>
      <c r="C60" s="1647"/>
      <c r="D60" s="1647"/>
      <c r="E60" s="1647"/>
      <c r="F60" s="326">
        <v>1</v>
      </c>
      <c r="H60" s="864"/>
    </row>
    <row r="61" spans="1:8" ht="16" thickBot="1" x14ac:dyDescent="0.4">
      <c r="F61" s="326">
        <v>1</v>
      </c>
    </row>
    <row r="62" spans="1:8" ht="16" thickBot="1" x14ac:dyDescent="0.4">
      <c r="A62" s="1724" t="str">
        <f>INTERPRETATIE!D79</f>
        <v>Zijn er nog maatregelen nodig op vlak van disaster-preparedness</v>
      </c>
      <c r="B62" s="1725">
        <f>INTERPRETATIE!E79</f>
        <v>0</v>
      </c>
      <c r="C62" s="1726"/>
      <c r="D62" s="1726">
        <f>INTERPRETATIE!F79</f>
        <v>0</v>
      </c>
      <c r="E62" s="512" t="str">
        <f>INTERPRETATIE!G79</f>
        <v>NEEN</v>
      </c>
      <c r="F62" s="326">
        <v>1</v>
      </c>
    </row>
    <row r="63" spans="1:8" ht="16" thickBot="1" x14ac:dyDescent="0.4">
      <c r="F63" s="326">
        <v>1</v>
      </c>
    </row>
    <row r="64" spans="1:8" ht="16" thickBot="1" x14ac:dyDescent="0.4">
      <c r="A64" s="1681" t="s">
        <v>1692</v>
      </c>
      <c r="B64" s="1682"/>
      <c r="C64" s="1683"/>
      <c r="D64" s="1684"/>
      <c r="F64" s="362">
        <f>IF(OR(F65=1,F66=1,F67=1,F68=1,F69=1,F70=1),0,1)</f>
        <v>1</v>
      </c>
    </row>
    <row r="65" spans="1:6" x14ac:dyDescent="0.35">
      <c r="A65" s="1669" t="s">
        <v>1596</v>
      </c>
      <c r="B65" s="1670"/>
      <c r="C65" s="1671"/>
      <c r="D65" s="1672"/>
      <c r="F65" s="510">
        <f>'LUIK3 + SCORE'!I94</f>
        <v>0</v>
      </c>
    </row>
    <row r="66" spans="1:6" x14ac:dyDescent="0.35">
      <c r="A66" s="1669" t="s">
        <v>1597</v>
      </c>
      <c r="B66" s="1670"/>
      <c r="C66" s="1671"/>
      <c r="D66" s="1672"/>
      <c r="F66" s="511">
        <f>'LUIK3 + SCORE'!I95</f>
        <v>0</v>
      </c>
    </row>
    <row r="67" spans="1:6" ht="28.5" customHeight="1" x14ac:dyDescent="0.35">
      <c r="A67" s="1669" t="s">
        <v>561</v>
      </c>
      <c r="B67" s="1670"/>
      <c r="C67" s="1671"/>
      <c r="D67" s="1672"/>
      <c r="F67" s="511">
        <f>'LUIK3 + SCORE'!I96</f>
        <v>0</v>
      </c>
    </row>
    <row r="68" spans="1:6" ht="15" customHeight="1" x14ac:dyDescent="0.35">
      <c r="A68" s="1664" t="s">
        <v>562</v>
      </c>
      <c r="B68" s="1665"/>
      <c r="C68" s="1665"/>
      <c r="D68" s="1666"/>
      <c r="F68" s="511">
        <f>'LUIK3 + SCORE'!I97</f>
        <v>0</v>
      </c>
    </row>
    <row r="69" spans="1:6" ht="48.75" customHeight="1" x14ac:dyDescent="0.35">
      <c r="A69" s="1669" t="s">
        <v>468</v>
      </c>
      <c r="B69" s="1670"/>
      <c r="C69" s="1671"/>
      <c r="D69" s="1672"/>
      <c r="F69" s="511">
        <f>'LUIK3 + SCORE'!I98</f>
        <v>0</v>
      </c>
    </row>
    <row r="70" spans="1:6" x14ac:dyDescent="0.35">
      <c r="A70" s="1669" t="s">
        <v>1571</v>
      </c>
      <c r="B70" s="1670"/>
      <c r="C70" s="1671"/>
      <c r="D70" s="1672"/>
      <c r="F70" s="511">
        <f>'LUIK3 + SCORE'!I99</f>
        <v>0</v>
      </c>
    </row>
    <row r="71" spans="1:6" ht="16" thickBot="1" x14ac:dyDescent="0.4">
      <c r="A71" s="1705" t="s">
        <v>2202</v>
      </c>
      <c r="B71" s="1706"/>
      <c r="C71" s="1707"/>
      <c r="D71" s="1708"/>
      <c r="F71" s="362">
        <f>IF(OR(F65=1,F66=1,F67=1,F68=1,F69=1,F70=1),0,1)</f>
        <v>1</v>
      </c>
    </row>
    <row r="72" spans="1:6" x14ac:dyDescent="0.35">
      <c r="F72" s="326">
        <v>1</v>
      </c>
    </row>
    <row r="73" spans="1:6" x14ac:dyDescent="0.35">
      <c r="A73" s="1647" t="s">
        <v>871</v>
      </c>
      <c r="B73" s="1647"/>
      <c r="C73" s="1647"/>
      <c r="D73" s="1647"/>
      <c r="E73" s="1647"/>
      <c r="F73" s="326">
        <v>1</v>
      </c>
    </row>
    <row r="74" spans="1:6" ht="16" thickBot="1" x14ac:dyDescent="0.4">
      <c r="F74" s="326">
        <v>1</v>
      </c>
    </row>
    <row r="75" spans="1:6" x14ac:dyDescent="0.35">
      <c r="A75" s="1716" t="str">
        <f>INTERPRETATIE!D85</f>
        <v>Is er nood aan andere maatregelen op of nabij de manifestatie</v>
      </c>
      <c r="B75" s="1717">
        <f>INTERPRETATIE!E85</f>
        <v>0</v>
      </c>
      <c r="C75" s="1717"/>
      <c r="D75" s="1717">
        <f>INTERPRETATIE!F85</f>
        <v>0</v>
      </c>
      <c r="E75" s="685" t="str">
        <f>INTERPRETATIE!G85</f>
        <v>NEEN</v>
      </c>
      <c r="F75" s="326">
        <v>1</v>
      </c>
    </row>
    <row r="76" spans="1:6" ht="16" thickBot="1" x14ac:dyDescent="0.4">
      <c r="A76" s="1718" t="str">
        <f>INTERPRETATIE!D86</f>
        <v>Is er nood aan andere maatregelen op of nabij de camping</v>
      </c>
      <c r="B76" s="1719">
        <f>INTERPRETATIE!E86</f>
        <v>0</v>
      </c>
      <c r="C76" s="1719"/>
      <c r="D76" s="1719">
        <f>INTERPRETATIE!F86</f>
        <v>0</v>
      </c>
      <c r="E76" s="686" t="str">
        <f>INTERPRETATIE!G86</f>
        <v>NEEN</v>
      </c>
      <c r="F76" s="326">
        <v>1</v>
      </c>
    </row>
    <row r="77" spans="1:6" ht="16" thickBot="1" x14ac:dyDescent="0.4">
      <c r="F77" s="326">
        <v>1</v>
      </c>
    </row>
    <row r="78" spans="1:6" ht="30.75" customHeight="1" x14ac:dyDescent="0.35">
      <c r="A78" s="1800" t="s">
        <v>210</v>
      </c>
      <c r="B78" s="1717" t="s">
        <v>0</v>
      </c>
      <c r="C78" s="1717"/>
      <c r="D78" s="1804"/>
      <c r="F78" s="510">
        <f>RESULTATEN!$H82</f>
        <v>0</v>
      </c>
    </row>
    <row r="79" spans="1:6" ht="20.25" customHeight="1" x14ac:dyDescent="0.35">
      <c r="A79" s="1801"/>
      <c r="B79" s="1634" t="s">
        <v>1686</v>
      </c>
      <c r="C79" s="1634"/>
      <c r="D79" s="1793"/>
      <c r="F79" s="511">
        <f>RESULTATEN!$H83</f>
        <v>0</v>
      </c>
    </row>
    <row r="80" spans="1:6" ht="30.75" customHeight="1" x14ac:dyDescent="0.35">
      <c r="A80" s="1801"/>
      <c r="B80" s="1634" t="s">
        <v>906</v>
      </c>
      <c r="C80" s="1634"/>
      <c r="D80" s="1793"/>
      <c r="F80" s="511">
        <f>RESULTATEN!$H84</f>
        <v>0</v>
      </c>
    </row>
    <row r="81" spans="1:6" ht="30.75" customHeight="1" x14ac:dyDescent="0.35">
      <c r="A81" s="1801"/>
      <c r="B81" s="1634" t="s">
        <v>1625</v>
      </c>
      <c r="C81" s="1634"/>
      <c r="D81" s="1793"/>
      <c r="F81" s="511">
        <f>RESULTATEN!$H85</f>
        <v>0</v>
      </c>
    </row>
    <row r="82" spans="1:6" ht="48" customHeight="1" x14ac:dyDescent="0.35">
      <c r="A82" s="1801"/>
      <c r="B82" s="1634" t="s">
        <v>995</v>
      </c>
      <c r="C82" s="1634"/>
      <c r="D82" s="1793"/>
      <c r="F82" s="511">
        <f>RESULTATEN!$H86</f>
        <v>0</v>
      </c>
    </row>
    <row r="83" spans="1:6" ht="30" customHeight="1" x14ac:dyDescent="0.35">
      <c r="A83" s="1801"/>
      <c r="B83" s="1634" t="s">
        <v>1371</v>
      </c>
      <c r="C83" s="1634"/>
      <c r="D83" s="1793"/>
      <c r="F83" s="511">
        <f>RESULTATEN!$H87</f>
        <v>0</v>
      </c>
    </row>
    <row r="84" spans="1:6" x14ac:dyDescent="0.35">
      <c r="A84" s="1801"/>
      <c r="B84" s="1634" t="s">
        <v>1714</v>
      </c>
      <c r="C84" s="1634"/>
      <c r="D84" s="1793"/>
      <c r="F84" s="511">
        <f>RESULTATEN!$H88</f>
        <v>0</v>
      </c>
    </row>
    <row r="85" spans="1:6" ht="30.75" customHeight="1" x14ac:dyDescent="0.35">
      <c r="A85" s="1801"/>
      <c r="B85" s="1634" t="s">
        <v>1373</v>
      </c>
      <c r="C85" s="1634"/>
      <c r="D85" s="1793"/>
      <c r="F85" s="511">
        <f>RESULTATEN!$H89</f>
        <v>0</v>
      </c>
    </row>
    <row r="86" spans="1:6" ht="33" customHeight="1" x14ac:dyDescent="0.35">
      <c r="A86" s="1801"/>
      <c r="B86" s="1634" t="s">
        <v>1374</v>
      </c>
      <c r="C86" s="1634"/>
      <c r="D86" s="1793"/>
      <c r="F86" s="511">
        <f>RESULTATEN!$H90</f>
        <v>0</v>
      </c>
    </row>
    <row r="87" spans="1:6" ht="30" customHeight="1" x14ac:dyDescent="0.35">
      <c r="A87" s="1801"/>
      <c r="B87" s="1634" t="s">
        <v>1089</v>
      </c>
      <c r="C87" s="1634"/>
      <c r="D87" s="1793"/>
      <c r="F87" s="511">
        <f>RESULTATEN!$H91</f>
        <v>0</v>
      </c>
    </row>
    <row r="88" spans="1:6" ht="45" customHeight="1" x14ac:dyDescent="0.35">
      <c r="A88" s="1801"/>
      <c r="B88" s="1634" t="s">
        <v>1715</v>
      </c>
      <c r="C88" s="1634"/>
      <c r="D88" s="1793"/>
      <c r="F88" s="511">
        <f>RESULTATEN!$H92</f>
        <v>0</v>
      </c>
    </row>
    <row r="89" spans="1:6" ht="30" customHeight="1" x14ac:dyDescent="0.35">
      <c r="A89" s="1802"/>
      <c r="B89" s="1634" t="s">
        <v>1716</v>
      </c>
      <c r="C89" s="1634"/>
      <c r="D89" s="1793"/>
      <c r="F89" s="511">
        <f>RESULTATEN!$H93</f>
        <v>0</v>
      </c>
    </row>
    <row r="90" spans="1:6" ht="15" customHeight="1" x14ac:dyDescent="0.35">
      <c r="A90" s="1803" t="s">
        <v>211</v>
      </c>
      <c r="B90" s="1634" t="s">
        <v>1090</v>
      </c>
      <c r="C90" s="1634"/>
      <c r="D90" s="1793"/>
      <c r="F90" s="511">
        <f>RESULTATEN!$H94</f>
        <v>0</v>
      </c>
    </row>
    <row r="91" spans="1:6" ht="31.5" customHeight="1" x14ac:dyDescent="0.35">
      <c r="A91" s="1801"/>
      <c r="B91" s="1634" t="s">
        <v>1625</v>
      </c>
      <c r="C91" s="1634"/>
      <c r="D91" s="1793"/>
      <c r="F91" s="511">
        <f>RESULTATEN!$H95</f>
        <v>0</v>
      </c>
    </row>
    <row r="92" spans="1:6" x14ac:dyDescent="0.35">
      <c r="A92" s="1801"/>
      <c r="B92" s="1634" t="s">
        <v>1091</v>
      </c>
      <c r="C92" s="1634"/>
      <c r="D92" s="1793"/>
      <c r="F92" s="511">
        <f>RESULTATEN!$H96</f>
        <v>0</v>
      </c>
    </row>
    <row r="93" spans="1:6" ht="32.25" customHeight="1" x14ac:dyDescent="0.35">
      <c r="A93" s="1802"/>
      <c r="B93" s="1634" t="s">
        <v>1595</v>
      </c>
      <c r="C93" s="1634"/>
      <c r="D93" s="1793"/>
      <c r="F93" s="511">
        <f>RESULTATEN!$H97</f>
        <v>0</v>
      </c>
    </row>
    <row r="94" spans="1:6" ht="16" thickBot="1" x14ac:dyDescent="0.4">
      <c r="A94" s="1712" t="s">
        <v>2202</v>
      </c>
      <c r="B94" s="1713"/>
      <c r="C94" s="1714"/>
      <c r="D94" s="1715"/>
      <c r="F94" s="380">
        <f>IF(OR(F78=1,F79=1,F80=1,F81=1,F82=1,F83=1,F84=1,F85=1,F86=1,F87=1,F88=1,F89=1,F90=1,F91=1,F92=1,F93=1),0,1)</f>
        <v>1</v>
      </c>
    </row>
    <row r="95" spans="1:6" x14ac:dyDescent="0.35">
      <c r="F95" s="326">
        <v>1</v>
      </c>
    </row>
    <row r="96" spans="1:6" x14ac:dyDescent="0.35">
      <c r="A96" s="1647" t="s">
        <v>872</v>
      </c>
      <c r="B96" s="1647"/>
      <c r="C96" s="1647"/>
      <c r="F96" s="326">
        <f>(IF(AND(F98=0,F99=0,F100=0,F101=0,F102=0),0,1))</f>
        <v>1</v>
      </c>
    </row>
    <row r="97" spans="1:8" ht="16" thickBot="1" x14ac:dyDescent="0.4">
      <c r="F97" s="326">
        <f>F96</f>
        <v>1</v>
      </c>
    </row>
    <row r="98" spans="1:8" ht="34.5" customHeight="1" x14ac:dyDescent="0.35">
      <c r="A98" s="842" t="s">
        <v>2235</v>
      </c>
      <c r="B98" s="1733" t="s">
        <v>934</v>
      </c>
      <c r="C98" s="1733"/>
      <c r="D98" s="1734"/>
      <c r="F98" s="848">
        <f>IF('LUIK 1 - AANVRAAG'!G53="",1,0)</f>
        <v>1</v>
      </c>
      <c r="H98" s="930"/>
    </row>
    <row r="99" spans="1:8" ht="30" customHeight="1" x14ac:dyDescent="0.35">
      <c r="A99" s="1643" t="s">
        <v>935</v>
      </c>
      <c r="B99" s="1670" t="s">
        <v>937</v>
      </c>
      <c r="C99" s="1670"/>
      <c r="D99" s="1672"/>
      <c r="F99" s="849">
        <f>IF('LUIK 1 - AANVRAAG'!G25="",1,0)</f>
        <v>1</v>
      </c>
    </row>
    <row r="100" spans="1:8" ht="30" customHeight="1" x14ac:dyDescent="0.35">
      <c r="A100" s="1644"/>
      <c r="B100" s="1798" t="s">
        <v>936</v>
      </c>
      <c r="C100" s="1798"/>
      <c r="D100" s="1799"/>
      <c r="F100" s="849">
        <f>IF(AND('LUIK 1 - AANVRAAG'!G30="",'LUIK 1 - AANVRAAG'!G31=""),1,0)</f>
        <v>1</v>
      </c>
    </row>
    <row r="101" spans="1:8" ht="27" customHeight="1" x14ac:dyDescent="0.35">
      <c r="A101" s="1701" t="s">
        <v>1918</v>
      </c>
      <c r="B101" s="1670" t="s">
        <v>1919</v>
      </c>
      <c r="C101" s="1670"/>
      <c r="D101" s="1672"/>
      <c r="F101" s="849">
        <f>IF('LUIK 1 - AANVRAAG'!G34="",1,0)</f>
        <v>1</v>
      </c>
    </row>
    <row r="102" spans="1:8" ht="30.75" customHeight="1" thickBot="1" x14ac:dyDescent="0.4">
      <c r="A102" s="1702"/>
      <c r="B102" s="1706" t="s">
        <v>1920</v>
      </c>
      <c r="C102" s="1706"/>
      <c r="D102" s="1708"/>
      <c r="F102" s="849">
        <f>IF(AND('LUIK 1 - AANVRAAG'!G40="",'LUIK 1 - AANVRAAG'!G41=""),1,0)</f>
        <v>1</v>
      </c>
    </row>
    <row r="103" spans="1:8" x14ac:dyDescent="0.35">
      <c r="F103" s="326">
        <f>F96</f>
        <v>1</v>
      </c>
    </row>
    <row r="104" spans="1:8" ht="18" x14ac:dyDescent="0.35">
      <c r="A104" s="1641" t="s">
        <v>873</v>
      </c>
      <c r="B104" s="1641"/>
      <c r="C104" s="1641"/>
      <c r="D104" s="1641"/>
      <c r="E104" s="1641"/>
      <c r="F104" s="326">
        <v>1</v>
      </c>
    </row>
    <row r="105" spans="1:8" x14ac:dyDescent="0.35">
      <c r="F105" s="326">
        <v>1</v>
      </c>
    </row>
    <row r="106" spans="1:8" x14ac:dyDescent="0.35">
      <c r="A106" s="1647" t="s">
        <v>874</v>
      </c>
      <c r="B106" s="1647"/>
      <c r="C106" s="1647"/>
      <c r="D106" s="1647"/>
      <c r="E106" s="1647"/>
      <c r="F106" s="326">
        <v>1</v>
      </c>
    </row>
    <row r="107" spans="1:8" ht="16" thickBot="1" x14ac:dyDescent="0.4">
      <c r="F107" s="326">
        <v>1</v>
      </c>
    </row>
    <row r="108" spans="1:8" x14ac:dyDescent="0.35">
      <c r="A108" s="1642" t="s">
        <v>535</v>
      </c>
      <c r="B108" s="1635" t="s">
        <v>536</v>
      </c>
      <c r="C108" s="1635"/>
      <c r="D108" s="368">
        <f>'LUIK3 + SCORE'!E6</f>
        <v>0</v>
      </c>
      <c r="E108" s="318"/>
      <c r="F108" s="361">
        <v>1</v>
      </c>
    </row>
    <row r="109" spans="1:8" x14ac:dyDescent="0.35">
      <c r="A109" s="1643"/>
      <c r="B109" s="1636" t="s">
        <v>537</v>
      </c>
      <c r="C109" s="1636"/>
      <c r="D109" s="317">
        <f>'LUIK3 + SCORE'!E7</f>
        <v>0</v>
      </c>
      <c r="E109" s="318"/>
      <c r="F109" s="360">
        <v>1</v>
      </c>
    </row>
    <row r="110" spans="1:8" x14ac:dyDescent="0.35">
      <c r="A110" s="1643"/>
      <c r="B110" s="1636" t="s">
        <v>1936</v>
      </c>
      <c r="C110" s="1636"/>
      <c r="D110" s="317">
        <f>'LUIK3 + SCORE'!$E$18</f>
        <v>0</v>
      </c>
      <c r="E110" s="318"/>
      <c r="F110" s="360">
        <v>1</v>
      </c>
    </row>
    <row r="111" spans="1:8" x14ac:dyDescent="0.35">
      <c r="A111" s="327" t="s">
        <v>1937</v>
      </c>
      <c r="B111" s="1633" t="s">
        <v>1938</v>
      </c>
      <c r="C111" s="1633"/>
      <c r="D111" s="369" t="str">
        <f>'LUIK3 + SCORE'!$E$8</f>
        <v>Maak uw keuze</v>
      </c>
      <c r="E111" s="318"/>
      <c r="F111" s="360">
        <v>1</v>
      </c>
    </row>
    <row r="112" spans="1:8" x14ac:dyDescent="0.35">
      <c r="A112" s="327" t="s">
        <v>1939</v>
      </c>
      <c r="B112" s="1633" t="s">
        <v>1940</v>
      </c>
      <c r="C112" s="1633"/>
      <c r="D112" s="370">
        <f>'LUIK3 + SCORE'!E9</f>
        <v>0</v>
      </c>
      <c r="E112" s="318"/>
      <c r="F112" s="360">
        <v>1</v>
      </c>
    </row>
    <row r="113" spans="1:8" x14ac:dyDescent="0.35">
      <c r="A113" s="1643" t="s">
        <v>1451</v>
      </c>
      <c r="B113" s="1633" t="s">
        <v>1941</v>
      </c>
      <c r="C113" s="1633"/>
      <c r="D113" s="370">
        <f>'LUIK3 + SCORE'!E10</f>
        <v>0</v>
      </c>
      <c r="E113" s="318"/>
      <c r="F113" s="360">
        <v>1</v>
      </c>
    </row>
    <row r="114" spans="1:8" x14ac:dyDescent="0.35">
      <c r="A114" s="1643"/>
      <c r="B114" s="1633" t="s">
        <v>1942</v>
      </c>
      <c r="C114" s="1633"/>
      <c r="D114" s="369" t="str">
        <f>'LUIK3 + SCORE'!$E$13</f>
        <v>Maak uw keuze</v>
      </c>
      <c r="E114" s="318"/>
      <c r="F114" s="360">
        <v>1</v>
      </c>
    </row>
    <row r="115" spans="1:8" x14ac:dyDescent="0.35">
      <c r="A115" s="1643"/>
      <c r="B115" s="1633" t="s">
        <v>1943</v>
      </c>
      <c r="C115" s="1633"/>
      <c r="D115" s="369" t="str">
        <f>'LUIK3 + SCORE'!$E$14</f>
        <v>Maak uw keuze</v>
      </c>
      <c r="E115" s="318"/>
      <c r="F115" s="360">
        <v>1</v>
      </c>
    </row>
    <row r="116" spans="1:8" x14ac:dyDescent="0.35">
      <c r="A116" s="1643"/>
      <c r="B116" s="1637" t="s">
        <v>1687</v>
      </c>
      <c r="C116" s="1657"/>
      <c r="D116" s="1638"/>
      <c r="E116" s="318"/>
      <c r="F116" s="360">
        <f>IF(D115="Tijdelijke structuur",1,0)</f>
        <v>0</v>
      </c>
    </row>
    <row r="117" spans="1:8" x14ac:dyDescent="0.35">
      <c r="A117" s="1643"/>
      <c r="B117" s="1633" t="s">
        <v>1944</v>
      </c>
      <c r="C117" s="1633"/>
      <c r="D117" s="369" t="str">
        <f>'LUIK3 + SCORE'!$E$15</f>
        <v>Maak uw keuze</v>
      </c>
      <c r="E117" s="318"/>
      <c r="F117" s="360">
        <v>1</v>
      </c>
    </row>
    <row r="118" spans="1:8" x14ac:dyDescent="0.35">
      <c r="A118" s="1643"/>
      <c r="B118" s="1633" t="s">
        <v>1945</v>
      </c>
      <c r="C118" s="1633"/>
      <c r="D118" s="369" t="str">
        <f>'LUIK3 + SCORE'!$E$16</f>
        <v>Maak uw keuze</v>
      </c>
      <c r="E118" s="318"/>
      <c r="F118" s="360">
        <v>1</v>
      </c>
    </row>
    <row r="119" spans="1:8" ht="16" thickBot="1" x14ac:dyDescent="0.4">
      <c r="A119" s="1644"/>
      <c r="B119" s="1645" t="s">
        <v>1946</v>
      </c>
      <c r="C119" s="1645"/>
      <c r="D119" s="803" t="str">
        <f>'LUIK3 + SCORE'!$E$17</f>
        <v>Maak uw keuze</v>
      </c>
      <c r="E119" s="318"/>
      <c r="F119" s="841">
        <v>1</v>
      </c>
    </row>
    <row r="120" spans="1:8" ht="16" thickBot="1" x14ac:dyDescent="0.4">
      <c r="A120" s="1654" t="s">
        <v>2203</v>
      </c>
      <c r="B120" s="1655"/>
      <c r="C120" s="1655"/>
      <c r="D120" s="1656"/>
      <c r="F120" s="380">
        <f>IF(OR(F108=1,F109=1,F110=1,F111=1,F112=1,F113=1,F114=1,F115=1,F117=1,F118=1,F119=1),0,1)</f>
        <v>0</v>
      </c>
    </row>
    <row r="121" spans="1:8" x14ac:dyDescent="0.35">
      <c r="F121" s="326">
        <v>1</v>
      </c>
    </row>
    <row r="122" spans="1:8" x14ac:dyDescent="0.35">
      <c r="A122" s="1647" t="s">
        <v>875</v>
      </c>
      <c r="B122" s="1647"/>
      <c r="C122" s="1647"/>
      <c r="D122" s="1647"/>
      <c r="E122" s="1647"/>
      <c r="F122" s="326">
        <v>1</v>
      </c>
      <c r="H122" s="930"/>
    </row>
    <row r="123" spans="1:8" ht="16" thickBot="1" x14ac:dyDescent="0.4">
      <c r="F123" s="326">
        <v>1</v>
      </c>
    </row>
    <row r="124" spans="1:8" x14ac:dyDescent="0.35">
      <c r="A124" s="371" t="s">
        <v>58</v>
      </c>
      <c r="B124" s="1652" t="s">
        <v>59</v>
      </c>
      <c r="C124" s="1652"/>
      <c r="D124" s="329" t="str">
        <f>'LUIK3 + SCORE'!$E$42</f>
        <v>Maak uw keuze</v>
      </c>
      <c r="F124" s="361">
        <v>1</v>
      </c>
    </row>
    <row r="125" spans="1:8" x14ac:dyDescent="0.35">
      <c r="A125" s="372" t="s">
        <v>1827</v>
      </c>
      <c r="B125" s="1653" t="s">
        <v>1828</v>
      </c>
      <c r="C125" s="1653"/>
      <c r="D125" s="317" t="str">
        <f>'LUIK3 + SCORE'!$E$43</f>
        <v>Maak uw keuze</v>
      </c>
      <c r="F125" s="360">
        <v>1</v>
      </c>
    </row>
    <row r="126" spans="1:8" x14ac:dyDescent="0.35">
      <c r="A126" s="372" t="s">
        <v>1947</v>
      </c>
      <c r="B126" s="1653" t="s">
        <v>1913</v>
      </c>
      <c r="C126" s="1653"/>
      <c r="D126" s="317" t="str">
        <f>'LUIK3 + SCORE'!$E$44</f>
        <v>Maak uw keuze</v>
      </c>
      <c r="F126" s="360">
        <v>1</v>
      </c>
    </row>
    <row r="127" spans="1:8" x14ac:dyDescent="0.35">
      <c r="A127" s="1648" t="s">
        <v>1915</v>
      </c>
      <c r="B127" s="1653" t="s">
        <v>1916</v>
      </c>
      <c r="C127" s="1653"/>
      <c r="D127" s="317" t="str">
        <f>'LUIK3 + SCORE'!$E$45</f>
        <v>Maak uw keuze</v>
      </c>
      <c r="F127" s="360">
        <v>1</v>
      </c>
    </row>
    <row r="128" spans="1:8" x14ac:dyDescent="0.35">
      <c r="A128" s="1648"/>
      <c r="B128" s="1653" t="s">
        <v>227</v>
      </c>
      <c r="C128" s="1653"/>
      <c r="D128" s="317" t="str">
        <f>'LUIK3 + SCORE'!$E$46</f>
        <v>Maak uw keuze</v>
      </c>
      <c r="F128" s="360">
        <v>1</v>
      </c>
    </row>
    <row r="129" spans="1:6" x14ac:dyDescent="0.35">
      <c r="A129" s="802"/>
      <c r="B129" s="1653" t="s">
        <v>230</v>
      </c>
      <c r="C129" s="1653"/>
      <c r="D129" s="317" t="str">
        <f>'LUIK3 + SCORE'!$E$47</f>
        <v>Maak uw keuze</v>
      </c>
      <c r="F129" s="360">
        <v>1</v>
      </c>
    </row>
    <row r="130" spans="1:6" x14ac:dyDescent="0.35">
      <c r="A130" s="1648" t="s">
        <v>1850</v>
      </c>
      <c r="B130" s="1653" t="s">
        <v>139</v>
      </c>
      <c r="C130" s="1653"/>
      <c r="D130" s="317" t="str">
        <f>'LUIK3 + SCORE'!$E$48</f>
        <v>Maak uw keuze</v>
      </c>
      <c r="F130" s="360">
        <v>1</v>
      </c>
    </row>
    <row r="131" spans="1:6" x14ac:dyDescent="0.35">
      <c r="A131" s="1648"/>
      <c r="B131" s="1649" t="s">
        <v>140</v>
      </c>
      <c r="C131" s="1650"/>
      <c r="D131" s="317" t="str">
        <f>'LUIK3 + SCORE'!$E$49</f>
        <v>Maak uw keuze</v>
      </c>
      <c r="F131" s="360">
        <v>1</v>
      </c>
    </row>
    <row r="132" spans="1:6" x14ac:dyDescent="0.35">
      <c r="A132" s="1651" t="s">
        <v>650</v>
      </c>
      <c r="B132" s="1653" t="s">
        <v>1948</v>
      </c>
      <c r="C132" s="1653"/>
      <c r="D132" s="317" t="str">
        <f>'LUIK3 + SCORE'!$E$50</f>
        <v>Maak uw keuze</v>
      </c>
      <c r="F132" s="360">
        <v>1</v>
      </c>
    </row>
    <row r="133" spans="1:6" x14ac:dyDescent="0.35">
      <c r="A133" s="1651"/>
      <c r="B133" s="1653" t="s">
        <v>1949</v>
      </c>
      <c r="C133" s="1653"/>
      <c r="D133" s="366">
        <f>'LUIK3 + SCORE'!$E$51</f>
        <v>0</v>
      </c>
      <c r="F133" s="360">
        <v>1</v>
      </c>
    </row>
    <row r="134" spans="1:6" x14ac:dyDescent="0.35">
      <c r="A134" s="1651"/>
      <c r="B134" s="1653" t="s">
        <v>241</v>
      </c>
      <c r="C134" s="1653"/>
      <c r="D134" s="317" t="str">
        <f>'LUIK3 + SCORE'!$E$54</f>
        <v>Maak uw keuze</v>
      </c>
      <c r="F134" s="360">
        <v>1</v>
      </c>
    </row>
    <row r="135" spans="1:6" ht="16" thickBot="1" x14ac:dyDescent="0.4">
      <c r="A135" s="373" t="s">
        <v>2294</v>
      </c>
      <c r="B135" s="1646" t="s">
        <v>1950</v>
      </c>
      <c r="C135" s="1646"/>
      <c r="D135" s="330" t="str">
        <f>'LUIK3 + SCORE'!$E$55</f>
        <v>Maak uw keuze</v>
      </c>
      <c r="F135" s="362">
        <v>1</v>
      </c>
    </row>
    <row r="137" spans="1:6" x14ac:dyDescent="0.35">
      <c r="A137" s="324" t="str">
        <f>CIJFERS!C37</f>
        <v>Dr. W. Haenen</v>
      </c>
    </row>
    <row r="138" spans="1:6" x14ac:dyDescent="0.35">
      <c r="A138" s="324" t="str">
        <f>CIJFERS!C42</f>
        <v>Secretaris Provinciale Geneeskundige Commissie van Antwerpen</v>
      </c>
    </row>
    <row r="139" spans="1:6" x14ac:dyDescent="0.35">
      <c r="A139" s="324" t="str">
        <f>CIJFERS!C43</f>
        <v>Federaal Gezondheidsinspecteur voor de provincie Antwerpen</v>
      </c>
    </row>
    <row r="140" spans="1:6" x14ac:dyDescent="0.35">
      <c r="A140" s="324" t="str">
        <f>CIJFERS!C44</f>
        <v>Voorzitter Commissie Dringende Medische Hulpverlening van Antwerpen</v>
      </c>
    </row>
  </sheetData>
  <sheetProtection password="C534" sheet="1" objects="1" scenarios="1" autoFilter="0"/>
  <autoFilter ref="F9:F135" xr:uid="{00000000-0009-0000-0000-000013000000}"/>
  <mergeCells count="158">
    <mergeCell ref="C1:E1"/>
    <mergeCell ref="C2:E2"/>
    <mergeCell ref="A96:C96"/>
    <mergeCell ref="B119:C119"/>
    <mergeCell ref="A106:E106"/>
    <mergeCell ref="A108:A110"/>
    <mergeCell ref="B114:C114"/>
    <mergeCell ref="A99:A100"/>
    <mergeCell ref="B101:D101"/>
    <mergeCell ref="B102:D102"/>
    <mergeCell ref="A101:A102"/>
    <mergeCell ref="B116:D116"/>
    <mergeCell ref="A78:A89"/>
    <mergeCell ref="A90:A93"/>
    <mergeCell ref="B79:D79"/>
    <mergeCell ref="B80:D80"/>
    <mergeCell ref="B88:D88"/>
    <mergeCell ref="B91:D91"/>
    <mergeCell ref="B84:D84"/>
    <mergeCell ref="B93:D93"/>
    <mergeCell ref="B78:D78"/>
    <mergeCell ref="B86:D86"/>
    <mergeCell ref="B87:D87"/>
    <mergeCell ref="B98:D98"/>
    <mergeCell ref="A130:A131"/>
    <mergeCell ref="A132:A134"/>
    <mergeCell ref="B132:C132"/>
    <mergeCell ref="B133:C133"/>
    <mergeCell ref="B134:C134"/>
    <mergeCell ref="B130:C130"/>
    <mergeCell ref="B131:C131"/>
    <mergeCell ref="B129:C129"/>
    <mergeCell ref="A127:A128"/>
    <mergeCell ref="B135:C135"/>
    <mergeCell ref="B108:C108"/>
    <mergeCell ref="B109:C109"/>
    <mergeCell ref="B110:C110"/>
    <mergeCell ref="B111:C111"/>
    <mergeCell ref="B112:C112"/>
    <mergeCell ref="B113:C113"/>
    <mergeCell ref="B118:C118"/>
    <mergeCell ref="B127:C127"/>
    <mergeCell ref="B128:C128"/>
    <mergeCell ref="B126:C126"/>
    <mergeCell ref="B125:C125"/>
    <mergeCell ref="B124:C124"/>
    <mergeCell ref="B89:D89"/>
    <mergeCell ref="A104:E104"/>
    <mergeCell ref="B85:D85"/>
    <mergeCell ref="B92:D92"/>
    <mergeCell ref="A113:A119"/>
    <mergeCell ref="A122:E122"/>
    <mergeCell ref="A120:D120"/>
    <mergeCell ref="B115:C115"/>
    <mergeCell ref="B117:C117"/>
    <mergeCell ref="B100:D100"/>
    <mergeCell ref="B99:D99"/>
    <mergeCell ref="B90:D90"/>
    <mergeCell ref="A94:D94"/>
    <mergeCell ref="A12:B13"/>
    <mergeCell ref="A14:B15"/>
    <mergeCell ref="A6:E6"/>
    <mergeCell ref="A21:E21"/>
    <mergeCell ref="A34:B34"/>
    <mergeCell ref="C13:D13"/>
    <mergeCell ref="C14:D14"/>
    <mergeCell ref="C15:D15"/>
    <mergeCell ref="A29:B29"/>
    <mergeCell ref="C29:D29"/>
    <mergeCell ref="A16:B16"/>
    <mergeCell ref="C17:D17"/>
    <mergeCell ref="A33:B33"/>
    <mergeCell ref="A25:B25"/>
    <mergeCell ref="A26:B26"/>
    <mergeCell ref="A27:B27"/>
    <mergeCell ref="A28:B28"/>
    <mergeCell ref="A30:B30"/>
    <mergeCell ref="C30:D30"/>
    <mergeCell ref="A32:B32"/>
    <mergeCell ref="C32:D32"/>
    <mergeCell ref="A31:B31"/>
    <mergeCell ref="C31:D31"/>
    <mergeCell ref="C35:D35"/>
    <mergeCell ref="A46:D46"/>
    <mergeCell ref="A35:B35"/>
    <mergeCell ref="A4:E4"/>
    <mergeCell ref="C10:D10"/>
    <mergeCell ref="C11:D11"/>
    <mergeCell ref="C12:D12"/>
    <mergeCell ref="A8:D8"/>
    <mergeCell ref="A10:B10"/>
    <mergeCell ref="A11:B11"/>
    <mergeCell ref="C18:D18"/>
    <mergeCell ref="A45:B45"/>
    <mergeCell ref="C45:D45"/>
    <mergeCell ref="A39:B39"/>
    <mergeCell ref="C34:D34"/>
    <mergeCell ref="C16:D16"/>
    <mergeCell ref="A23:D23"/>
    <mergeCell ref="C27:D27"/>
    <mergeCell ref="C28:D28"/>
    <mergeCell ref="C25:D25"/>
    <mergeCell ref="C26:D26"/>
    <mergeCell ref="A17:B17"/>
    <mergeCell ref="A18:B18"/>
    <mergeCell ref="A19:D19"/>
    <mergeCell ref="A60:E60"/>
    <mergeCell ref="A69:D69"/>
    <mergeCell ref="A70:D70"/>
    <mergeCell ref="A67:D67"/>
    <mergeCell ref="A68:D68"/>
    <mergeCell ref="A65:D65"/>
    <mergeCell ref="B81:D81"/>
    <mergeCell ref="B82:D82"/>
    <mergeCell ref="B83:D83"/>
    <mergeCell ref="A62:D62"/>
    <mergeCell ref="A64:D64"/>
    <mergeCell ref="A66:D66"/>
    <mergeCell ref="A71:D71"/>
    <mergeCell ref="A73:E73"/>
    <mergeCell ref="A75:D75"/>
    <mergeCell ref="A76:D76"/>
    <mergeCell ref="A36:B36"/>
    <mergeCell ref="C37:D37"/>
    <mergeCell ref="C52:D52"/>
    <mergeCell ref="A41:B41"/>
    <mergeCell ref="C41:D41"/>
    <mergeCell ref="A37:B37"/>
    <mergeCell ref="C36:D36"/>
    <mergeCell ref="C44:D44"/>
    <mergeCell ref="A42:B42"/>
    <mergeCell ref="A48:D48"/>
    <mergeCell ref="C42:D42"/>
    <mergeCell ref="A43:B43"/>
    <mergeCell ref="C43:D43"/>
    <mergeCell ref="A44:B44"/>
    <mergeCell ref="C38:D38"/>
    <mergeCell ref="C39:D39"/>
    <mergeCell ref="C40:D40"/>
    <mergeCell ref="A38:B38"/>
    <mergeCell ref="A40:B40"/>
    <mergeCell ref="C58:D58"/>
    <mergeCell ref="A57:B57"/>
    <mergeCell ref="A58:B58"/>
    <mergeCell ref="C50:D50"/>
    <mergeCell ref="C53:D53"/>
    <mergeCell ref="C54:D54"/>
    <mergeCell ref="C57:D57"/>
    <mergeCell ref="A53:B53"/>
    <mergeCell ref="A54:B54"/>
    <mergeCell ref="A55:B55"/>
    <mergeCell ref="C55:D55"/>
    <mergeCell ref="C56:D56"/>
    <mergeCell ref="A52:B52"/>
    <mergeCell ref="C51:D51"/>
    <mergeCell ref="A56:B56"/>
    <mergeCell ref="A50:B50"/>
    <mergeCell ref="A51:B51"/>
  </mergeCells>
  <phoneticPr fontId="2" type="noConversion"/>
  <pageMargins left="0.28000000000000003" right="0.5" top="0.97" bottom="0.53" header="0.23" footer="0.12"/>
  <pageSetup paperSize="9" scale="83" orientation="landscape" verticalDpi="2" r:id="rId1"/>
  <headerFooter alignWithMargins="0">
    <oddHeader>&amp;L&amp;G&amp;R&amp;F
&amp;"Arial,Gras"&amp;12FOD Volksgezondheid, Veiligheid van de voedselketen en leefmilieu</oddHeader>
    <oddFooter>&amp;R&amp;P/&amp;N
Datum outprint : &amp;D</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30">
    <tabColor indexed="51"/>
  </sheetPr>
  <dimension ref="A1:H75"/>
  <sheetViews>
    <sheetView zoomScale="70" zoomScaleNormal="70" workbookViewId="0">
      <selection activeCell="C2" sqref="C2:H2"/>
    </sheetView>
  </sheetViews>
  <sheetFormatPr defaultColWidth="9.1796875" defaultRowHeight="15.5" x14ac:dyDescent="0.35"/>
  <cols>
    <col min="1" max="1" width="22.54296875" style="328" bestFit="1" customWidth="1"/>
    <col min="2" max="2" width="30.81640625" style="328" bestFit="1" customWidth="1"/>
    <col min="3" max="3" width="32.54296875" style="328" customWidth="1"/>
    <col min="4" max="4" width="5.26953125" style="318" customWidth="1"/>
    <col min="5" max="5" width="10.7265625" style="326" bestFit="1" customWidth="1"/>
    <col min="6" max="6" width="11" style="326" bestFit="1" customWidth="1"/>
    <col min="7" max="7" width="17.1796875" style="318" customWidth="1"/>
    <col min="8" max="8" width="18" style="318" customWidth="1"/>
    <col min="9" max="16384" width="9.1796875" style="318"/>
  </cols>
  <sheetData>
    <row r="1" spans="1:8" x14ac:dyDescent="0.35">
      <c r="C1" s="1722" t="str">
        <f>CIJFERS!C41</f>
        <v>ICM - Buitendienst Antwerpen - Advies voor risicomanifestaties (PRIMA)</v>
      </c>
      <c r="D1" s="1722"/>
      <c r="E1" s="1722"/>
      <c r="F1" s="1722"/>
      <c r="G1" s="1722"/>
      <c r="H1" s="1722"/>
    </row>
    <row r="2" spans="1:8" x14ac:dyDescent="0.35">
      <c r="C2" s="1722" t="str">
        <f>CIJFERS!C36</f>
        <v>icm.antwerpen@health.fgov.be</v>
      </c>
      <c r="D2" s="1722"/>
      <c r="E2" s="1722"/>
      <c r="F2" s="1722"/>
      <c r="G2" s="1722"/>
      <c r="H2" s="1722"/>
    </row>
    <row r="3" spans="1:8" ht="16" thickBot="1" x14ac:dyDescent="0.4"/>
    <row r="4" spans="1:8" ht="16" thickBot="1" x14ac:dyDescent="0.4">
      <c r="A4" s="1815" t="s">
        <v>601</v>
      </c>
      <c r="B4" s="1816"/>
      <c r="C4" s="1817">
        <f>'LUIK 1 - AANVRAAG'!G5</f>
        <v>0</v>
      </c>
      <c r="D4" s="1817"/>
      <c r="E4" s="1817"/>
      <c r="F4" s="1817"/>
      <c r="G4" s="1817"/>
      <c r="H4" s="1818"/>
    </row>
    <row r="5" spans="1:8" ht="16" thickBot="1" x14ac:dyDescent="0.4">
      <c r="A5" s="1183" t="s">
        <v>602</v>
      </c>
      <c r="B5" s="1819">
        <f>'LUIK 1 - AANVRAAG'!G4</f>
        <v>0</v>
      </c>
      <c r="C5" s="1820"/>
      <c r="D5" s="1820"/>
      <c r="E5" s="1820"/>
      <c r="F5" s="1820"/>
      <c r="G5" s="1820"/>
      <c r="H5" s="1821"/>
    </row>
    <row r="6" spans="1:8" ht="22.5" customHeight="1" thickBot="1" x14ac:dyDescent="0.4">
      <c r="A6" s="1814" t="s">
        <v>2286</v>
      </c>
      <c r="B6" s="1814"/>
      <c r="C6" s="1814"/>
      <c r="D6" s="1814"/>
      <c r="E6" s="1814"/>
      <c r="F6" s="1814"/>
      <c r="G6" s="1814"/>
      <c r="H6" s="1814"/>
    </row>
    <row r="7" spans="1:8" ht="19.5" customHeight="1" x14ac:dyDescent="0.35">
      <c r="A7" s="1807" t="s">
        <v>2287</v>
      </c>
      <c r="B7" s="1808"/>
      <c r="C7" s="1808"/>
      <c r="D7" s="1808"/>
      <c r="E7" s="1808"/>
      <c r="F7" s="1808"/>
      <c r="G7" s="1808"/>
      <c r="H7" s="1809"/>
    </row>
    <row r="8" spans="1:8" x14ac:dyDescent="0.35">
      <c r="A8" s="1810" t="s">
        <v>855</v>
      </c>
      <c r="B8" s="1751" t="s">
        <v>848</v>
      </c>
      <c r="C8" s="1751" t="s">
        <v>849</v>
      </c>
      <c r="D8" s="1751"/>
      <c r="E8" s="1751"/>
      <c r="F8" s="1751"/>
      <c r="G8" s="1805" t="s">
        <v>853</v>
      </c>
      <c r="H8" s="1806" t="s">
        <v>854</v>
      </c>
    </row>
    <row r="9" spans="1:8" ht="18" customHeight="1" x14ac:dyDescent="0.35">
      <c r="A9" s="1810"/>
      <c r="B9" s="1751"/>
      <c r="C9" s="1178" t="s">
        <v>850</v>
      </c>
      <c r="D9" s="1179" t="s">
        <v>851</v>
      </c>
      <c r="E9" s="1177" t="s">
        <v>2083</v>
      </c>
      <c r="F9" s="1177" t="s">
        <v>852</v>
      </c>
      <c r="G9" s="1805"/>
      <c r="H9" s="1806"/>
    </row>
    <row r="10" spans="1:8" s="1189" customFormat="1" x14ac:dyDescent="0.35">
      <c r="A10" s="1184"/>
      <c r="B10" s="1185"/>
      <c r="C10" s="1185"/>
      <c r="D10" s="1186"/>
      <c r="E10" s="1187"/>
      <c r="F10" s="1187"/>
      <c r="G10" s="1186"/>
      <c r="H10" s="1188"/>
    </row>
    <row r="11" spans="1:8" s="1189" customFormat="1" x14ac:dyDescent="0.35">
      <c r="A11" s="1184"/>
      <c r="B11" s="1185"/>
      <c r="C11" s="1185"/>
      <c r="D11" s="1186"/>
      <c r="E11" s="1187"/>
      <c r="F11" s="1187"/>
      <c r="G11" s="1186"/>
      <c r="H11" s="1188"/>
    </row>
    <row r="12" spans="1:8" s="1189" customFormat="1" x14ac:dyDescent="0.35">
      <c r="A12" s="1184"/>
      <c r="B12" s="1185"/>
      <c r="C12" s="1185"/>
      <c r="D12" s="1186"/>
      <c r="E12" s="1187"/>
      <c r="F12" s="1187"/>
      <c r="G12" s="1186"/>
      <c r="H12" s="1188"/>
    </row>
    <row r="13" spans="1:8" s="1189" customFormat="1" x14ac:dyDescent="0.35">
      <c r="A13" s="1184"/>
      <c r="B13" s="1185"/>
      <c r="C13" s="1185"/>
      <c r="D13" s="1186"/>
      <c r="E13" s="1187"/>
      <c r="F13" s="1187"/>
      <c r="G13" s="1186"/>
      <c r="H13" s="1188"/>
    </row>
    <row r="14" spans="1:8" s="1189" customFormat="1" x14ac:dyDescent="0.35">
      <c r="A14" s="1184"/>
      <c r="B14" s="1185"/>
      <c r="C14" s="1185"/>
      <c r="D14" s="1186"/>
      <c r="E14" s="1187"/>
      <c r="F14" s="1187"/>
      <c r="G14" s="1186"/>
      <c r="H14" s="1188"/>
    </row>
    <row r="15" spans="1:8" s="1189" customFormat="1" x14ac:dyDescent="0.35">
      <c r="A15" s="1184"/>
      <c r="B15" s="1185"/>
      <c r="C15" s="1185"/>
      <c r="D15" s="1186"/>
      <c r="E15" s="1187"/>
      <c r="F15" s="1187"/>
      <c r="G15" s="1186"/>
      <c r="H15" s="1188"/>
    </row>
    <row r="16" spans="1:8" s="1189" customFormat="1" x14ac:dyDescent="0.35">
      <c r="A16" s="1184"/>
      <c r="B16" s="1185"/>
      <c r="C16" s="1185"/>
      <c r="D16" s="1186"/>
      <c r="E16" s="1187"/>
      <c r="F16" s="1187"/>
      <c r="G16" s="1186"/>
      <c r="H16" s="1188"/>
    </row>
    <row r="17" spans="1:8" s="1189" customFormat="1" x14ac:dyDescent="0.35">
      <c r="A17" s="1184"/>
      <c r="B17" s="1185"/>
      <c r="C17" s="1185"/>
      <c r="D17" s="1186"/>
      <c r="E17" s="1187"/>
      <c r="F17" s="1187"/>
      <c r="G17" s="1186"/>
      <c r="H17" s="1188"/>
    </row>
    <row r="18" spans="1:8" s="1189" customFormat="1" x14ac:dyDescent="0.35">
      <c r="A18" s="1184"/>
      <c r="B18" s="1185"/>
      <c r="C18" s="1185"/>
      <c r="D18" s="1186"/>
      <c r="E18" s="1187"/>
      <c r="F18" s="1187"/>
      <c r="G18" s="1186"/>
      <c r="H18" s="1188"/>
    </row>
    <row r="19" spans="1:8" s="1189" customFormat="1" x14ac:dyDescent="0.35">
      <c r="A19" s="1184"/>
      <c r="B19" s="1185"/>
      <c r="C19" s="1185"/>
      <c r="D19" s="1186"/>
      <c r="E19" s="1187"/>
      <c r="F19" s="1187"/>
      <c r="G19" s="1186"/>
      <c r="H19" s="1188"/>
    </row>
    <row r="20" spans="1:8" s="1189" customFormat="1" ht="16" thickBot="1" x14ac:dyDescent="0.4">
      <c r="A20" s="1190"/>
      <c r="B20" s="1191"/>
      <c r="C20" s="1191"/>
      <c r="D20" s="1192"/>
      <c r="E20" s="1193"/>
      <c r="F20" s="1193"/>
      <c r="G20" s="1192"/>
      <c r="H20" s="1194"/>
    </row>
    <row r="21" spans="1:8" ht="16" thickBot="1" x14ac:dyDescent="0.4"/>
    <row r="22" spans="1:8" ht="20.25" customHeight="1" x14ac:dyDescent="0.35">
      <c r="A22" s="1811" t="s">
        <v>2288</v>
      </c>
      <c r="B22" s="1812"/>
      <c r="C22" s="1812"/>
      <c r="D22" s="1812"/>
      <c r="E22" s="1812"/>
      <c r="F22" s="1812"/>
      <c r="G22" s="1813"/>
    </row>
    <row r="23" spans="1:8" x14ac:dyDescent="0.35">
      <c r="A23" s="1810" t="s">
        <v>855</v>
      </c>
      <c r="B23" s="1751" t="s">
        <v>848</v>
      </c>
      <c r="C23" s="1751" t="s">
        <v>849</v>
      </c>
      <c r="D23" s="1751"/>
      <c r="E23" s="1751"/>
      <c r="F23" s="1751"/>
      <c r="G23" s="1806" t="s">
        <v>853</v>
      </c>
    </row>
    <row r="24" spans="1:8" ht="18" customHeight="1" x14ac:dyDescent="0.35">
      <c r="A24" s="1810"/>
      <c r="B24" s="1751"/>
      <c r="C24" s="1178" t="s">
        <v>850</v>
      </c>
      <c r="D24" s="1179" t="s">
        <v>851</v>
      </c>
      <c r="E24" s="1177" t="s">
        <v>2083</v>
      </c>
      <c r="F24" s="1177" t="s">
        <v>852</v>
      </c>
      <c r="G24" s="1806"/>
    </row>
    <row r="25" spans="1:8" s="1189" customFormat="1" x14ac:dyDescent="0.35">
      <c r="A25" s="1184"/>
      <c r="B25" s="1185"/>
      <c r="C25" s="1185"/>
      <c r="D25" s="1186"/>
      <c r="E25" s="1187"/>
      <c r="F25" s="1187"/>
      <c r="G25" s="1188"/>
    </row>
    <row r="26" spans="1:8" s="1189" customFormat="1" x14ac:dyDescent="0.35">
      <c r="A26" s="1184"/>
      <c r="B26" s="1185"/>
      <c r="C26" s="1185"/>
      <c r="D26" s="1186"/>
      <c r="E26" s="1187"/>
      <c r="F26" s="1187"/>
      <c r="G26" s="1188"/>
    </row>
    <row r="27" spans="1:8" s="1189" customFormat="1" x14ac:dyDescent="0.35">
      <c r="A27" s="1184"/>
      <c r="B27" s="1185"/>
      <c r="C27" s="1185"/>
      <c r="D27" s="1186"/>
      <c r="E27" s="1187"/>
      <c r="F27" s="1187"/>
      <c r="G27" s="1188"/>
    </row>
    <row r="28" spans="1:8" s="1189" customFormat="1" x14ac:dyDescent="0.35">
      <c r="A28" s="1184"/>
      <c r="B28" s="1185"/>
      <c r="C28" s="1185"/>
      <c r="D28" s="1186"/>
      <c r="E28" s="1187"/>
      <c r="F28" s="1187"/>
      <c r="G28" s="1188"/>
    </row>
    <row r="29" spans="1:8" s="1189" customFormat="1" x14ac:dyDescent="0.35">
      <c r="A29" s="1184"/>
      <c r="B29" s="1185"/>
      <c r="C29" s="1185"/>
      <c r="D29" s="1186"/>
      <c r="E29" s="1187"/>
      <c r="F29" s="1187"/>
      <c r="G29" s="1188"/>
    </row>
    <row r="30" spans="1:8" s="1189" customFormat="1" x14ac:dyDescent="0.35">
      <c r="A30" s="1184"/>
      <c r="B30" s="1185"/>
      <c r="C30" s="1185"/>
      <c r="D30" s="1186"/>
      <c r="E30" s="1187"/>
      <c r="F30" s="1187"/>
      <c r="G30" s="1188"/>
    </row>
    <row r="31" spans="1:8" s="1189" customFormat="1" x14ac:dyDescent="0.35">
      <c r="A31" s="1184"/>
      <c r="B31" s="1185"/>
      <c r="C31" s="1185"/>
      <c r="D31" s="1186"/>
      <c r="E31" s="1187"/>
      <c r="F31" s="1187"/>
      <c r="G31" s="1188"/>
    </row>
    <row r="32" spans="1:8" s="1189" customFormat="1" x14ac:dyDescent="0.35">
      <c r="A32" s="1184"/>
      <c r="B32" s="1185"/>
      <c r="C32" s="1185"/>
      <c r="D32" s="1186"/>
      <c r="E32" s="1187"/>
      <c r="F32" s="1187"/>
      <c r="G32" s="1188"/>
    </row>
    <row r="33" spans="1:8" s="1189" customFormat="1" x14ac:dyDescent="0.35">
      <c r="A33" s="1184"/>
      <c r="B33" s="1185"/>
      <c r="C33" s="1185"/>
      <c r="D33" s="1186"/>
      <c r="E33" s="1187"/>
      <c r="F33" s="1187"/>
      <c r="G33" s="1188"/>
    </row>
    <row r="34" spans="1:8" s="1189" customFormat="1" x14ac:dyDescent="0.35">
      <c r="A34" s="1184"/>
      <c r="B34" s="1185"/>
      <c r="C34" s="1185"/>
      <c r="D34" s="1186"/>
      <c r="E34" s="1187"/>
      <c r="F34" s="1187"/>
      <c r="G34" s="1188"/>
    </row>
    <row r="35" spans="1:8" s="1189" customFormat="1" x14ac:dyDescent="0.35">
      <c r="A35" s="1184"/>
      <c r="B35" s="1185"/>
      <c r="C35" s="1185"/>
      <c r="D35" s="1186"/>
      <c r="E35" s="1187"/>
      <c r="F35" s="1187"/>
      <c r="G35" s="1188"/>
    </row>
    <row r="36" spans="1:8" s="1189" customFormat="1" x14ac:dyDescent="0.35">
      <c r="A36" s="1184"/>
      <c r="B36" s="1185"/>
      <c r="C36" s="1185"/>
      <c r="D36" s="1186"/>
      <c r="E36" s="1187"/>
      <c r="F36" s="1187"/>
      <c r="G36" s="1188"/>
    </row>
    <row r="37" spans="1:8" s="1189" customFormat="1" x14ac:dyDescent="0.35">
      <c r="A37" s="1184"/>
      <c r="B37" s="1185"/>
      <c r="C37" s="1185"/>
      <c r="D37" s="1186"/>
      <c r="E37" s="1187"/>
      <c r="F37" s="1187"/>
      <c r="G37" s="1188"/>
    </row>
    <row r="38" spans="1:8" s="1189" customFormat="1" x14ac:dyDescent="0.35">
      <c r="A38" s="1184"/>
      <c r="B38" s="1185"/>
      <c r="C38" s="1185"/>
      <c r="D38" s="1186"/>
      <c r="E38" s="1187"/>
      <c r="F38" s="1187"/>
      <c r="G38" s="1188"/>
    </row>
    <row r="39" spans="1:8" s="1189" customFormat="1" x14ac:dyDescent="0.35">
      <c r="A39" s="1184"/>
      <c r="B39" s="1185"/>
      <c r="C39" s="1185"/>
      <c r="D39" s="1186"/>
      <c r="E39" s="1187"/>
      <c r="F39" s="1187"/>
      <c r="G39" s="1188"/>
    </row>
    <row r="40" spans="1:8" s="1189" customFormat="1" x14ac:dyDescent="0.35">
      <c r="A40" s="1184"/>
      <c r="B40" s="1185"/>
      <c r="C40" s="1185"/>
      <c r="D40" s="1186"/>
      <c r="E40" s="1187"/>
      <c r="F40" s="1187"/>
      <c r="G40" s="1188"/>
    </row>
    <row r="41" spans="1:8" s="1189" customFormat="1" x14ac:dyDescent="0.35">
      <c r="A41" s="1184"/>
      <c r="B41" s="1185"/>
      <c r="C41" s="1185"/>
      <c r="D41" s="1186"/>
      <c r="E41" s="1187"/>
      <c r="F41" s="1187"/>
      <c r="G41" s="1188"/>
    </row>
    <row r="42" spans="1:8" s="1189" customFormat="1" ht="16" thickBot="1" x14ac:dyDescent="0.4">
      <c r="A42" s="1190"/>
      <c r="B42" s="1191"/>
      <c r="C42" s="1191"/>
      <c r="D42" s="1192"/>
      <c r="E42" s="1193"/>
      <c r="F42" s="1193"/>
      <c r="G42" s="1194"/>
    </row>
    <row r="43" spans="1:8" ht="16" thickBot="1" x14ac:dyDescent="0.4"/>
    <row r="44" spans="1:8" ht="20" x14ac:dyDescent="0.35">
      <c r="A44" s="1807" t="s">
        <v>847</v>
      </c>
      <c r="B44" s="1808"/>
      <c r="C44" s="1808"/>
      <c r="D44" s="1808"/>
      <c r="E44" s="1808"/>
      <c r="F44" s="1808"/>
      <c r="G44" s="1808"/>
      <c r="H44" s="1809"/>
    </row>
    <row r="45" spans="1:8" x14ac:dyDescent="0.35">
      <c r="A45" s="1810" t="s">
        <v>855</v>
      </c>
      <c r="B45" s="1751" t="s">
        <v>848</v>
      </c>
      <c r="C45" s="1751" t="s">
        <v>849</v>
      </c>
      <c r="D45" s="1751"/>
      <c r="E45" s="1751"/>
      <c r="F45" s="1751"/>
      <c r="G45" s="1805" t="s">
        <v>853</v>
      </c>
      <c r="H45" s="1806" t="s">
        <v>856</v>
      </c>
    </row>
    <row r="46" spans="1:8" ht="18" customHeight="1" x14ac:dyDescent="0.35">
      <c r="A46" s="1810"/>
      <c r="B46" s="1751"/>
      <c r="C46" s="1178" t="s">
        <v>850</v>
      </c>
      <c r="D46" s="1179" t="s">
        <v>851</v>
      </c>
      <c r="E46" s="1177" t="s">
        <v>2083</v>
      </c>
      <c r="F46" s="1177" t="s">
        <v>852</v>
      </c>
      <c r="G46" s="1805"/>
      <c r="H46" s="1806"/>
    </row>
    <row r="47" spans="1:8" s="1189" customFormat="1" x14ac:dyDescent="0.35">
      <c r="A47" s="1184"/>
      <c r="B47" s="1185"/>
      <c r="C47" s="1185"/>
      <c r="D47" s="1186"/>
      <c r="E47" s="1187"/>
      <c r="F47" s="1187"/>
      <c r="G47" s="1186"/>
      <c r="H47" s="1188"/>
    </row>
    <row r="48" spans="1:8" s="1189" customFormat="1" x14ac:dyDescent="0.35">
      <c r="A48" s="1184"/>
      <c r="B48" s="1185"/>
      <c r="C48" s="1185"/>
      <c r="D48" s="1186"/>
      <c r="E48" s="1187"/>
      <c r="F48" s="1187"/>
      <c r="G48" s="1186"/>
      <c r="H48" s="1188"/>
    </row>
    <row r="49" spans="1:8" s="1189" customFormat="1" x14ac:dyDescent="0.35">
      <c r="A49" s="1184"/>
      <c r="B49" s="1185"/>
      <c r="C49" s="1185"/>
      <c r="D49" s="1186"/>
      <c r="E49" s="1187"/>
      <c r="F49" s="1187"/>
      <c r="G49" s="1186"/>
      <c r="H49" s="1188"/>
    </row>
    <row r="50" spans="1:8" s="1189" customFormat="1" x14ac:dyDescent="0.35">
      <c r="A50" s="1184"/>
      <c r="B50" s="1185"/>
      <c r="C50" s="1185"/>
      <c r="D50" s="1186"/>
      <c r="E50" s="1187"/>
      <c r="F50" s="1187"/>
      <c r="G50" s="1186"/>
      <c r="H50" s="1188"/>
    </row>
    <row r="51" spans="1:8" s="1189" customFormat="1" x14ac:dyDescent="0.35">
      <c r="A51" s="1184"/>
      <c r="B51" s="1185"/>
      <c r="C51" s="1185"/>
      <c r="D51" s="1186"/>
      <c r="E51" s="1187"/>
      <c r="F51" s="1187"/>
      <c r="G51" s="1186"/>
      <c r="H51" s="1188"/>
    </row>
    <row r="52" spans="1:8" s="1189" customFormat="1" x14ac:dyDescent="0.35">
      <c r="A52" s="1184"/>
      <c r="B52" s="1185"/>
      <c r="C52" s="1185"/>
      <c r="D52" s="1186"/>
      <c r="E52" s="1187"/>
      <c r="F52" s="1187"/>
      <c r="G52" s="1186"/>
      <c r="H52" s="1188"/>
    </row>
    <row r="53" spans="1:8" s="1189" customFormat="1" x14ac:dyDescent="0.35">
      <c r="A53" s="1184"/>
      <c r="B53" s="1185"/>
      <c r="C53" s="1185"/>
      <c r="D53" s="1186"/>
      <c r="E53" s="1187"/>
      <c r="F53" s="1187"/>
      <c r="G53" s="1186"/>
      <c r="H53" s="1188"/>
    </row>
    <row r="54" spans="1:8" s="1189" customFormat="1" x14ac:dyDescent="0.35">
      <c r="A54" s="1184"/>
      <c r="B54" s="1185"/>
      <c r="C54" s="1185"/>
      <c r="D54" s="1186"/>
      <c r="E54" s="1187"/>
      <c r="F54" s="1187"/>
      <c r="G54" s="1186"/>
      <c r="H54" s="1188"/>
    </row>
    <row r="55" spans="1:8" s="1189" customFormat="1" x14ac:dyDescent="0.35">
      <c r="A55" s="1184"/>
      <c r="B55" s="1185"/>
      <c r="C55" s="1185"/>
      <c r="D55" s="1186"/>
      <c r="E55" s="1187"/>
      <c r="F55" s="1187"/>
      <c r="G55" s="1186"/>
      <c r="H55" s="1188"/>
    </row>
    <row r="56" spans="1:8" s="1189" customFormat="1" x14ac:dyDescent="0.35">
      <c r="A56" s="1184"/>
      <c r="B56" s="1185"/>
      <c r="C56" s="1185"/>
      <c r="D56" s="1186"/>
      <c r="E56" s="1187"/>
      <c r="F56" s="1187"/>
      <c r="G56" s="1186"/>
      <c r="H56" s="1188"/>
    </row>
    <row r="57" spans="1:8" s="1189" customFormat="1" x14ac:dyDescent="0.35">
      <c r="A57" s="1184"/>
      <c r="B57" s="1185"/>
      <c r="C57" s="1185"/>
      <c r="D57" s="1186"/>
      <c r="E57" s="1187"/>
      <c r="F57" s="1187"/>
      <c r="G57" s="1186"/>
      <c r="H57" s="1188"/>
    </row>
    <row r="58" spans="1:8" s="1189" customFormat="1" ht="16" thickBot="1" x14ac:dyDescent="0.4">
      <c r="A58" s="1190"/>
      <c r="B58" s="1191"/>
      <c r="C58" s="1191"/>
      <c r="D58" s="1192"/>
      <c r="E58" s="1193"/>
      <c r="F58" s="1193"/>
      <c r="G58" s="1192"/>
      <c r="H58" s="1194"/>
    </row>
    <row r="59" spans="1:8" ht="16" thickBot="1" x14ac:dyDescent="0.4"/>
    <row r="60" spans="1:8" ht="30" customHeight="1" x14ac:dyDescent="0.35">
      <c r="A60" s="1811" t="s">
        <v>841</v>
      </c>
      <c r="B60" s="1812"/>
      <c r="C60" s="1812"/>
      <c r="D60" s="1812"/>
      <c r="E60" s="1812"/>
      <c r="F60" s="1812"/>
      <c r="G60" s="1813"/>
    </row>
    <row r="61" spans="1:8" x14ac:dyDescent="0.35">
      <c r="A61" s="1810" t="s">
        <v>855</v>
      </c>
      <c r="B61" s="1751" t="s">
        <v>848</v>
      </c>
      <c r="C61" s="1751" t="s">
        <v>849</v>
      </c>
      <c r="D61" s="1751"/>
      <c r="E61" s="1751"/>
      <c r="F61" s="1751"/>
      <c r="G61" s="1806" t="s">
        <v>853</v>
      </c>
    </row>
    <row r="62" spans="1:8" ht="18" customHeight="1" x14ac:dyDescent="0.35">
      <c r="A62" s="1810"/>
      <c r="B62" s="1751"/>
      <c r="C62" s="1178" t="s">
        <v>850</v>
      </c>
      <c r="D62" s="1179" t="s">
        <v>851</v>
      </c>
      <c r="E62" s="1177" t="s">
        <v>2083</v>
      </c>
      <c r="F62" s="1177" t="s">
        <v>852</v>
      </c>
      <c r="G62" s="1806"/>
    </row>
    <row r="63" spans="1:8" s="1189" customFormat="1" x14ac:dyDescent="0.35">
      <c r="A63" s="1184"/>
      <c r="B63" s="1185"/>
      <c r="C63" s="1185"/>
      <c r="D63" s="1186"/>
      <c r="E63" s="1187"/>
      <c r="F63" s="1187"/>
      <c r="G63" s="1188"/>
    </row>
    <row r="64" spans="1:8" s="1189" customFormat="1" x14ac:dyDescent="0.35">
      <c r="A64" s="1184"/>
      <c r="B64" s="1185"/>
      <c r="C64" s="1185"/>
      <c r="D64" s="1186"/>
      <c r="E64" s="1187"/>
      <c r="F64" s="1187"/>
      <c r="G64" s="1188"/>
    </row>
    <row r="65" spans="1:7" s="1189" customFormat="1" x14ac:dyDescent="0.35">
      <c r="A65" s="1184"/>
      <c r="B65" s="1185"/>
      <c r="C65" s="1185"/>
      <c r="D65" s="1186"/>
      <c r="E65" s="1187"/>
      <c r="F65" s="1187"/>
      <c r="G65" s="1188"/>
    </row>
    <row r="66" spans="1:7" s="1189" customFormat="1" x14ac:dyDescent="0.35">
      <c r="A66" s="1184"/>
      <c r="B66" s="1185"/>
      <c r="C66" s="1185"/>
      <c r="D66" s="1186"/>
      <c r="E66" s="1187"/>
      <c r="F66" s="1187"/>
      <c r="G66" s="1188"/>
    </row>
    <row r="67" spans="1:7" s="1189" customFormat="1" x14ac:dyDescent="0.35">
      <c r="A67" s="1184"/>
      <c r="B67" s="1185"/>
      <c r="C67" s="1185"/>
      <c r="D67" s="1186"/>
      <c r="E67" s="1187"/>
      <c r="F67" s="1187"/>
      <c r="G67" s="1188"/>
    </row>
    <row r="68" spans="1:7" s="1189" customFormat="1" x14ac:dyDescent="0.35">
      <c r="A68" s="1184"/>
      <c r="B68" s="1185"/>
      <c r="C68" s="1185"/>
      <c r="D68" s="1186"/>
      <c r="E68" s="1187"/>
      <c r="F68" s="1187"/>
      <c r="G68" s="1188"/>
    </row>
    <row r="69" spans="1:7" s="1189" customFormat="1" x14ac:dyDescent="0.35">
      <c r="A69" s="1184"/>
      <c r="B69" s="1185"/>
      <c r="C69" s="1185"/>
      <c r="D69" s="1186"/>
      <c r="E69" s="1187"/>
      <c r="F69" s="1187"/>
      <c r="G69" s="1188"/>
    </row>
    <row r="70" spans="1:7" s="1189" customFormat="1" x14ac:dyDescent="0.35">
      <c r="A70" s="1184"/>
      <c r="B70" s="1185"/>
      <c r="C70" s="1185"/>
      <c r="D70" s="1186"/>
      <c r="E70" s="1187"/>
      <c r="F70" s="1187"/>
      <c r="G70" s="1188"/>
    </row>
    <row r="71" spans="1:7" s="1189" customFormat="1" x14ac:dyDescent="0.35">
      <c r="A71" s="1184"/>
      <c r="B71" s="1185"/>
      <c r="C71" s="1185"/>
      <c r="D71" s="1186"/>
      <c r="E71" s="1187"/>
      <c r="F71" s="1187"/>
      <c r="G71" s="1188"/>
    </row>
    <row r="72" spans="1:7" s="1189" customFormat="1" x14ac:dyDescent="0.35">
      <c r="A72" s="1184"/>
      <c r="B72" s="1185"/>
      <c r="C72" s="1185"/>
      <c r="D72" s="1186"/>
      <c r="E72" s="1187"/>
      <c r="F72" s="1187"/>
      <c r="G72" s="1188"/>
    </row>
    <row r="73" spans="1:7" s="1189" customFormat="1" x14ac:dyDescent="0.35">
      <c r="A73" s="1184"/>
      <c r="B73" s="1185"/>
      <c r="C73" s="1185"/>
      <c r="D73" s="1186"/>
      <c r="E73" s="1187"/>
      <c r="F73" s="1187"/>
      <c r="G73" s="1188"/>
    </row>
    <row r="74" spans="1:7" s="1189" customFormat="1" x14ac:dyDescent="0.35">
      <c r="A74" s="1184"/>
      <c r="B74" s="1185"/>
      <c r="C74" s="1185"/>
      <c r="D74" s="1186"/>
      <c r="E74" s="1187"/>
      <c r="F74" s="1187"/>
      <c r="G74" s="1188"/>
    </row>
    <row r="75" spans="1:7" s="1189" customFormat="1" ht="16" thickBot="1" x14ac:dyDescent="0.4">
      <c r="A75" s="1190"/>
      <c r="B75" s="1191"/>
      <c r="C75" s="1191"/>
      <c r="D75" s="1192"/>
      <c r="E75" s="1193"/>
      <c r="F75" s="1193"/>
      <c r="G75" s="1194"/>
    </row>
  </sheetData>
  <sheetProtection password="C534" sheet="1" objects="1" scenarios="1" autoFilter="0"/>
  <mergeCells count="28">
    <mergeCell ref="B61:B62"/>
    <mergeCell ref="C61:F61"/>
    <mergeCell ref="C45:F45"/>
    <mergeCell ref="A4:B4"/>
    <mergeCell ref="C4:H4"/>
    <mergeCell ref="B5:H5"/>
    <mergeCell ref="G61:G62"/>
    <mergeCell ref="A61:A62"/>
    <mergeCell ref="A60:G60"/>
    <mergeCell ref="G23:G24"/>
    <mergeCell ref="B8:B9"/>
    <mergeCell ref="C23:F23"/>
    <mergeCell ref="C1:H1"/>
    <mergeCell ref="C2:H2"/>
    <mergeCell ref="G8:G9"/>
    <mergeCell ref="G45:G46"/>
    <mergeCell ref="H45:H46"/>
    <mergeCell ref="A44:H44"/>
    <mergeCell ref="H8:H9"/>
    <mergeCell ref="A23:A24"/>
    <mergeCell ref="B23:B24"/>
    <mergeCell ref="C8:F8"/>
    <mergeCell ref="A8:A9"/>
    <mergeCell ref="A22:G22"/>
    <mergeCell ref="A7:H7"/>
    <mergeCell ref="A6:H6"/>
    <mergeCell ref="A45:A46"/>
    <mergeCell ref="B45:B46"/>
  </mergeCells>
  <phoneticPr fontId="2" type="noConversion"/>
  <pageMargins left="0.28000000000000003" right="0.5" top="0.97" bottom="0.54" header="0.23" footer="0.12"/>
  <pageSetup paperSize="9" scale="95" orientation="landscape" verticalDpi="2" r:id="rId1"/>
  <headerFooter alignWithMargins="0">
    <oddHeader>&amp;L&amp;G&amp;R&amp;F
&amp;"Arial,Gras"&amp;12FOD Volksgezondheid, Veiligheid van de voedselketen en leefmilieu</oddHeader>
    <oddFooter>&amp;R&amp;P/&amp;N
Datum outprint : &amp;D</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9">
    <tabColor indexed="51"/>
  </sheetPr>
  <dimension ref="A1:C55"/>
  <sheetViews>
    <sheetView zoomScaleNormal="100" workbookViewId="0">
      <selection activeCell="A55" sqref="A55:B55"/>
    </sheetView>
  </sheetViews>
  <sheetFormatPr defaultColWidth="9.1796875" defaultRowHeight="15.5" x14ac:dyDescent="0.35"/>
  <cols>
    <col min="1" max="1" width="11.54296875" style="328" customWidth="1"/>
    <col min="2" max="2" width="75.7265625" style="318" bestFit="1" customWidth="1"/>
    <col min="3" max="3" width="13.26953125" style="326" customWidth="1"/>
    <col min="4" max="4" width="2.453125" style="318" customWidth="1"/>
    <col min="5" max="6" width="9.453125" style="318" bestFit="1" customWidth="1"/>
    <col min="7" max="7" width="6.81640625" style="318" customWidth="1"/>
    <col min="8" max="16384" width="9.1796875" style="318"/>
  </cols>
  <sheetData>
    <row r="1" spans="1:3" x14ac:dyDescent="0.35">
      <c r="B1" s="1722" t="str">
        <f>CIJFERS!C52</f>
        <v>Directoraat-Generaal Basisgezondheidszorg en Crisisbeheer</v>
      </c>
      <c r="C1" s="1722"/>
    </row>
    <row r="2" spans="1:3" x14ac:dyDescent="0.35">
      <c r="B2" s="1722" t="str">
        <f>CIJFERS!C53</f>
        <v>Gezondheidsinspectie voor de provincie Antwerpen</v>
      </c>
      <c r="C2" s="1722"/>
    </row>
    <row r="3" spans="1:3" x14ac:dyDescent="0.35">
      <c r="B3" s="1722" t="str">
        <f>CIJFERS!C54</f>
        <v>Provinciale Geneeskundige Commissie voor Dringende Geneeskundige</v>
      </c>
      <c r="C3" s="1722"/>
    </row>
    <row r="4" spans="1:3" x14ac:dyDescent="0.35">
      <c r="B4" s="1722" t="str">
        <f>CIJFERS!C55</f>
        <v>Hulpverlening van Antwerpen</v>
      </c>
      <c r="C4" s="1722"/>
    </row>
    <row r="5" spans="1:3" x14ac:dyDescent="0.35">
      <c r="A5" s="345" t="s">
        <v>1160</v>
      </c>
      <c r="B5" s="382" t="s">
        <v>308</v>
      </c>
    </row>
    <row r="6" spans="1:3" x14ac:dyDescent="0.35">
      <c r="A6" s="345" t="s">
        <v>1161</v>
      </c>
      <c r="B6" s="383">
        <f ca="1">TODAY()</f>
        <v>44175</v>
      </c>
    </row>
    <row r="7" spans="1:3" ht="18" customHeight="1" x14ac:dyDescent="0.35">
      <c r="A7" s="382" t="s">
        <v>382</v>
      </c>
      <c r="B7" s="382" t="str">
        <f>CIJFERS!C37</f>
        <v>Dr. W. Haenen</v>
      </c>
    </row>
    <row r="8" spans="1:3" ht="15" customHeight="1" x14ac:dyDescent="0.35">
      <c r="A8" s="345"/>
      <c r="B8" s="345" t="str">
        <f>CIJFERS!C38</f>
        <v>Jo De Decker</v>
      </c>
    </row>
    <row r="9" spans="1:3" x14ac:dyDescent="0.35">
      <c r="A9" s="345" t="s">
        <v>378</v>
      </c>
      <c r="B9" s="345" t="str">
        <f>CIJFERS!C45</f>
        <v>02/524 78 53</v>
      </c>
    </row>
    <row r="10" spans="1:3" x14ac:dyDescent="0.35">
      <c r="A10" s="345" t="s">
        <v>379</v>
      </c>
      <c r="B10" s="345" t="str">
        <f>CIJFERS!C46</f>
        <v>0477/426 026</v>
      </c>
    </row>
    <row r="11" spans="1:3" ht="15" customHeight="1" x14ac:dyDescent="0.35">
      <c r="A11" s="345" t="s">
        <v>380</v>
      </c>
      <c r="B11" s="345" t="str">
        <f>CIJFERS!C47</f>
        <v>02/524 78 58</v>
      </c>
    </row>
    <row r="12" spans="1:3" ht="21.75" customHeight="1" x14ac:dyDescent="0.35">
      <c r="A12" s="1203" t="s">
        <v>381</v>
      </c>
      <c r="B12" s="315" t="str">
        <f>CIJFERS!C36</f>
        <v>icm.antwerpen@health.fgov.be</v>
      </c>
    </row>
    <row r="13" spans="1:3" x14ac:dyDescent="0.35">
      <c r="A13" s="1824" t="s">
        <v>269</v>
      </c>
      <c r="B13" s="1824"/>
    </row>
    <row r="14" spans="1:3" ht="26.25" customHeight="1" x14ac:dyDescent="0.35">
      <c r="B14" s="421">
        <f>'LUIK 1 - AANVRAAG'!$G$3</f>
        <v>0</v>
      </c>
    </row>
    <row r="15" spans="1:3" x14ac:dyDescent="0.35">
      <c r="A15" s="1647">
        <f>'LUIK 1 - AANVRAAG'!$G$5</f>
        <v>0</v>
      </c>
      <c r="B15" s="1647"/>
    </row>
    <row r="16" spans="1:3" x14ac:dyDescent="0.35">
      <c r="A16" s="345" t="s">
        <v>260</v>
      </c>
      <c r="B16" s="353">
        <f>WERKDOC!$B$11</f>
        <v>0</v>
      </c>
    </row>
    <row r="17" spans="1:3" ht="18" customHeight="1" x14ac:dyDescent="0.35"/>
    <row r="18" spans="1:3" x14ac:dyDescent="0.35">
      <c r="A18" s="1827" t="s">
        <v>270</v>
      </c>
      <c r="B18" s="1827"/>
      <c r="C18" s="1827"/>
    </row>
    <row r="20" spans="1:3" ht="32.25" customHeight="1" x14ac:dyDescent="0.35">
      <c r="A20" s="1826" t="s">
        <v>560</v>
      </c>
      <c r="B20" s="1826"/>
      <c r="C20" s="1826"/>
    </row>
    <row r="21" spans="1:3" ht="6.75" customHeight="1" x14ac:dyDescent="0.35">
      <c r="A21" s="346"/>
    </row>
    <row r="22" spans="1:3" x14ac:dyDescent="0.35">
      <c r="A22" s="1825" t="s">
        <v>261</v>
      </c>
      <c r="B22" s="1825"/>
    </row>
    <row r="23" spans="1:3" ht="4.5" customHeight="1" thickBot="1" x14ac:dyDescent="0.4">
      <c r="A23" s="347"/>
    </row>
    <row r="24" spans="1:3" x14ac:dyDescent="0.35">
      <c r="B24" s="348" t="str">
        <f>WERKDOC!G3</f>
        <v>Moet een medische antenne geplaatst worden op de manifestatie</v>
      </c>
      <c r="C24" s="374" t="str">
        <f>WERKDOC!H3</f>
        <v>NEEN</v>
      </c>
    </row>
    <row r="25" spans="1:3" x14ac:dyDescent="0.35">
      <c r="B25" s="349" t="str">
        <f>WERKDOC!G4</f>
        <v>Moeten maatregelen op afstand genomen worden</v>
      </c>
      <c r="C25" s="365" t="str">
        <f>WERKDOC!H4</f>
        <v>NEEN</v>
      </c>
    </row>
    <row r="26" spans="1:3" ht="16" thickBot="1" x14ac:dyDescent="0.4">
      <c r="B26" s="350" t="str">
        <f>WERKDOC!G5</f>
        <v>Moeten specifieke maatregelen genomen worden voor campings</v>
      </c>
      <c r="C26" s="367" t="str">
        <f>WERKDOC!H5</f>
        <v>NEEN</v>
      </c>
    </row>
    <row r="27" spans="1:3" ht="7.5" customHeight="1" x14ac:dyDescent="0.35"/>
    <row r="28" spans="1:3" x14ac:dyDescent="0.35">
      <c r="A28" s="1825" t="s">
        <v>262</v>
      </c>
      <c r="B28" s="1825"/>
    </row>
    <row r="29" spans="1:3" ht="3.75" customHeight="1" thickBot="1" x14ac:dyDescent="0.4"/>
    <row r="30" spans="1:3" x14ac:dyDescent="0.35">
      <c r="B30" s="348" t="str">
        <f>RESULTATEN!J11</f>
        <v>Minimum aantal ambulances</v>
      </c>
      <c r="C30" s="384">
        <f>WERKDOC!B28</f>
        <v>0</v>
      </c>
    </row>
    <row r="31" spans="1:3" x14ac:dyDescent="0.35">
      <c r="B31" s="349" t="str">
        <f>RESULTATEN!J12</f>
        <v>Minimum aantal MUG-equipes</v>
      </c>
      <c r="C31" s="385" t="e">
        <f>RESULTATEN!K12</f>
        <v>#DIV/0!</v>
      </c>
    </row>
    <row r="32" spans="1:3" x14ac:dyDescent="0.35">
      <c r="B32" s="349" t="str">
        <f>RESULTATEN!J13</f>
        <v>Minimaal aantal BLS-ploegen op het terrein</v>
      </c>
      <c r="C32" s="385">
        <f>RESULTATEN!K13</f>
        <v>0</v>
      </c>
    </row>
    <row r="33" spans="1:3" x14ac:dyDescent="0.35">
      <c r="B33" s="349" t="str">
        <f>RESULTATEN!J14</f>
        <v>Minimum aantal hulpverleners in de hulpposten</v>
      </c>
      <c r="C33" s="385">
        <f>RESULTATEN!K14</f>
        <v>0</v>
      </c>
    </row>
    <row r="34" spans="1:3" x14ac:dyDescent="0.35">
      <c r="B34" s="349" t="str">
        <f>RESULTATEN!J15</f>
        <v>Minimum aantal verpleegkundigen, andere dan de MUG-verpleegkundige</v>
      </c>
      <c r="C34" s="385" t="e">
        <f>RESULTATEN!K15</f>
        <v>#DIV/0!</v>
      </c>
    </row>
    <row r="35" spans="1:3" ht="16" thickBot="1" x14ac:dyDescent="0.4">
      <c r="B35" s="350" t="str">
        <f>RESULTATEN!J16</f>
        <v>Minimum aantal artsen, andere dan de MUG-arts</v>
      </c>
      <c r="C35" s="386" t="e">
        <f>RESULTATEN!K16</f>
        <v>#DIV/0!</v>
      </c>
    </row>
    <row r="36" spans="1:3" ht="6.75" customHeight="1" x14ac:dyDescent="0.35"/>
    <row r="37" spans="1:3" x14ac:dyDescent="0.35">
      <c r="A37" s="1825" t="s">
        <v>263</v>
      </c>
      <c r="B37" s="1825"/>
    </row>
    <row r="38" spans="1:3" ht="16" thickBot="1" x14ac:dyDescent="0.4"/>
    <row r="39" spans="1:3" x14ac:dyDescent="0.35">
      <c r="B39" s="348" t="str">
        <f>WERKDOC!G7</f>
        <v>Moeten maatregelen genomen worden voor de omwonenden</v>
      </c>
      <c r="C39" s="374" t="str">
        <f>WERKDOC!H7</f>
        <v>NEEN</v>
      </c>
    </row>
    <row r="40" spans="1:3" x14ac:dyDescent="0.35">
      <c r="B40" s="349" t="str">
        <f>WERKDOC!G8</f>
        <v>Moeten multidisciplinaire acties ondernomen worden</v>
      </c>
      <c r="C40" s="365" t="str">
        <f>WERKDOC!H8</f>
        <v>JA</v>
      </c>
    </row>
    <row r="41" spans="1:3" ht="16" thickBot="1" x14ac:dyDescent="0.4">
      <c r="B41" s="350" t="str">
        <f>WERKDOC!G9</f>
        <v>Is de medische noodplanning voldoende uitgewerkt</v>
      </c>
      <c r="C41" s="367" t="str">
        <f>WERKDOC!H9</f>
        <v>NEEN</v>
      </c>
    </row>
    <row r="42" spans="1:3" ht="6.75" customHeight="1" x14ac:dyDescent="0.35">
      <c r="A42" s="346"/>
    </row>
    <row r="43" spans="1:3" ht="20.25" customHeight="1" x14ac:dyDescent="0.35">
      <c r="A43" s="1826" t="s">
        <v>1674</v>
      </c>
      <c r="B43" s="1826"/>
      <c r="C43" s="1826"/>
    </row>
    <row r="44" spans="1:3" ht="50.25" customHeight="1" x14ac:dyDescent="0.35">
      <c r="A44" s="1828" t="s">
        <v>175</v>
      </c>
      <c r="B44" s="1828"/>
      <c r="C44" s="1828"/>
    </row>
    <row r="45" spans="1:3" ht="8.25" customHeight="1" x14ac:dyDescent="0.35">
      <c r="A45" s="346"/>
    </row>
    <row r="46" spans="1:3" ht="33.75" customHeight="1" x14ac:dyDescent="0.35">
      <c r="A46" s="1826" t="s">
        <v>176</v>
      </c>
      <c r="B46" s="1826"/>
      <c r="C46" s="1826"/>
    </row>
    <row r="47" spans="1:3" ht="10.5" customHeight="1" x14ac:dyDescent="0.35">
      <c r="A47" s="346"/>
    </row>
    <row r="48" spans="1:3" x14ac:dyDescent="0.35">
      <c r="A48" s="1826" t="s">
        <v>264</v>
      </c>
      <c r="B48" s="1826"/>
    </row>
    <row r="49" spans="1:3" ht="43.5" customHeight="1" x14ac:dyDescent="0.35">
      <c r="A49" s="351"/>
      <c r="B49" s="352"/>
    </row>
    <row r="50" spans="1:3" x14ac:dyDescent="0.35">
      <c r="A50" s="1826" t="str">
        <f>CIJFERS!C37</f>
        <v>Dr. W. Haenen</v>
      </c>
      <c r="B50" s="1826"/>
    </row>
    <row r="51" spans="1:3" x14ac:dyDescent="0.35">
      <c r="A51" s="1823" t="str">
        <f>CIJFERS!C42</f>
        <v>Secretaris Provinciale Geneeskundige Commissie van Antwerpen</v>
      </c>
      <c r="B51" s="1823"/>
    </row>
    <row r="52" spans="1:3" x14ac:dyDescent="0.35">
      <c r="A52" s="1823" t="str">
        <f>CIJFERS!C43</f>
        <v>Federaal Gezondheidsinspecteur voor de provincie Antwerpen</v>
      </c>
      <c r="B52" s="1823"/>
    </row>
    <row r="53" spans="1:3" x14ac:dyDescent="0.35">
      <c r="A53" s="1823" t="str">
        <f>CIJFERS!C44</f>
        <v>Voorzitter Commissie Dringende Medische Hulpverlening van Antwerpen</v>
      </c>
      <c r="B53" s="1823"/>
    </row>
    <row r="54" spans="1:3" ht="11.25" customHeight="1" x14ac:dyDescent="0.35"/>
    <row r="55" spans="1:3" ht="19.5" customHeight="1" x14ac:dyDescent="0.35">
      <c r="A55" s="1822" t="str">
        <f>CIJFERS!C39</f>
        <v>Pelikaanstraat 4 - 2de verdieping - 2018 Antwerpen - www.health.fgov.be</v>
      </c>
      <c r="B55" s="1822"/>
      <c r="C55" s="1204"/>
    </row>
  </sheetData>
  <sheetProtection password="C534" sheet="1" objects="1" scenarios="1" autoFilter="0"/>
  <mergeCells count="20">
    <mergeCell ref="A51:B51"/>
    <mergeCell ref="A43:C43"/>
    <mergeCell ref="A44:C44"/>
    <mergeCell ref="A46:C46"/>
    <mergeCell ref="A55:B55"/>
    <mergeCell ref="A53:B53"/>
    <mergeCell ref="B1:C1"/>
    <mergeCell ref="B2:C2"/>
    <mergeCell ref="B3:C3"/>
    <mergeCell ref="B4:C4"/>
    <mergeCell ref="A13:B13"/>
    <mergeCell ref="A15:B15"/>
    <mergeCell ref="A52:B52"/>
    <mergeCell ref="A22:B22"/>
    <mergeCell ref="A20:C20"/>
    <mergeCell ref="A18:C18"/>
    <mergeCell ref="A37:B37"/>
    <mergeCell ref="A28:B28"/>
    <mergeCell ref="A48:B48"/>
    <mergeCell ref="A50:B50"/>
  </mergeCells>
  <phoneticPr fontId="2" type="noConversion"/>
  <pageMargins left="0.57999999999999996" right="0.5" top="0.36" bottom="0.32" header="0.23" footer="0.12"/>
  <pageSetup paperSize="9" scale="90" orientation="portrait" verticalDpi="2" r:id="rId1"/>
  <headerFooter alignWithMargins="0"/>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5">
    <tabColor indexed="51"/>
  </sheetPr>
  <dimension ref="A1:C53"/>
  <sheetViews>
    <sheetView zoomScaleNormal="100" workbookViewId="0">
      <selection activeCell="A12" sqref="A12"/>
    </sheetView>
  </sheetViews>
  <sheetFormatPr defaultColWidth="9.1796875" defaultRowHeight="12.5" x14ac:dyDescent="0.25"/>
  <cols>
    <col min="1" max="1" width="51.1796875" style="389" customWidth="1"/>
    <col min="2" max="2" width="8.81640625" style="389" customWidth="1"/>
    <col min="3" max="3" width="55.1796875" style="389" customWidth="1"/>
    <col min="4" max="16384" width="9.1796875" style="389"/>
  </cols>
  <sheetData>
    <row r="1" spans="1:3" x14ac:dyDescent="0.25">
      <c r="C1" s="389" t="str">
        <f>CIJFERS!C41</f>
        <v>ICM - Buitendienst Antwerpen - Advies voor risicomanifestaties (PRIMA)</v>
      </c>
    </row>
    <row r="2" spans="1:3" x14ac:dyDescent="0.25">
      <c r="C2" s="389" t="str">
        <f>CIJFERS!C36</f>
        <v>icm.antwerpen@health.fgov.be</v>
      </c>
    </row>
    <row r="3" spans="1:3" ht="10.5" customHeight="1" x14ac:dyDescent="0.25"/>
    <row r="4" spans="1:3" ht="50.25" customHeight="1" x14ac:dyDescent="0.3">
      <c r="A4" s="1829" t="s">
        <v>2093</v>
      </c>
      <c r="B4" s="1829"/>
      <c r="C4" s="1829"/>
    </row>
    <row r="5" spans="1:3" ht="14" x14ac:dyDescent="0.3">
      <c r="A5" s="388" t="s">
        <v>312</v>
      </c>
      <c r="B5" s="388"/>
    </row>
    <row r="6" spans="1:3" ht="14" x14ac:dyDescent="0.3">
      <c r="A6" s="390"/>
      <c r="B6" s="390"/>
    </row>
    <row r="7" spans="1:3" ht="45" customHeight="1" x14ac:dyDescent="0.3">
      <c r="A7" s="1832" t="s">
        <v>313</v>
      </c>
      <c r="B7" s="1832"/>
      <c r="C7" s="1832"/>
    </row>
    <row r="8" spans="1:3" ht="14" x14ac:dyDescent="0.3">
      <c r="A8" s="391"/>
    </row>
    <row r="9" spans="1:3" ht="14" x14ac:dyDescent="0.3">
      <c r="A9" s="391"/>
      <c r="B9" s="391"/>
    </row>
    <row r="10" spans="1:3" ht="14" x14ac:dyDescent="0.3">
      <c r="A10" s="392" t="s">
        <v>314</v>
      </c>
      <c r="B10" s="392"/>
    </row>
    <row r="11" spans="1:3" ht="14.5" thickBot="1" x14ac:dyDescent="0.35">
      <c r="A11" s="393"/>
      <c r="B11" s="393"/>
    </row>
    <row r="12" spans="1:3" ht="14" x14ac:dyDescent="0.25">
      <c r="A12" s="396" t="s">
        <v>315</v>
      </c>
      <c r="B12" s="1839">
        <f>'LUIK 1 - AANVRAAG'!$G$5</f>
        <v>0</v>
      </c>
      <c r="C12" s="1840"/>
    </row>
    <row r="13" spans="1:3" ht="14" x14ac:dyDescent="0.25">
      <c r="A13" s="397" t="s">
        <v>1965</v>
      </c>
      <c r="B13" s="1841">
        <f>WERKDOC!$B$11</f>
        <v>0</v>
      </c>
      <c r="C13" s="1842"/>
    </row>
    <row r="14" spans="1:3" ht="14" x14ac:dyDescent="0.25">
      <c r="A14" s="401" t="s">
        <v>764</v>
      </c>
      <c r="B14" s="1843">
        <f>'LUIK 1 - AANVRAAG'!$G$7</f>
        <v>0</v>
      </c>
      <c r="C14" s="1844"/>
    </row>
    <row r="15" spans="1:3" ht="14.5" thickBot="1" x14ac:dyDescent="0.3">
      <c r="A15" s="399" t="s">
        <v>2082</v>
      </c>
      <c r="B15" s="402">
        <f>'LUIK 1 - AANVRAAG'!$J$7</f>
        <v>0</v>
      </c>
      <c r="C15" s="400">
        <f>'LUIK 1 - AANVRAAG'!$G$3</f>
        <v>0</v>
      </c>
    </row>
    <row r="16" spans="1:3" ht="14" x14ac:dyDescent="0.3">
      <c r="A16" s="393"/>
      <c r="B16" s="403"/>
      <c r="C16" s="404"/>
    </row>
    <row r="17" spans="1:3" ht="14" x14ac:dyDescent="0.3">
      <c r="A17" s="392" t="s">
        <v>316</v>
      </c>
      <c r="B17" s="405"/>
      <c r="C17" s="404"/>
    </row>
    <row r="18" spans="1:3" ht="14.5" thickBot="1" x14ac:dyDescent="0.35">
      <c r="A18" s="393"/>
      <c r="B18" s="403"/>
      <c r="C18" s="404"/>
    </row>
    <row r="19" spans="1:3" ht="14" x14ac:dyDescent="0.25">
      <c r="A19" s="396" t="s">
        <v>2090</v>
      </c>
      <c r="B19" s="1845">
        <f>'LUIK3 + SCORE'!E9</f>
        <v>0</v>
      </c>
      <c r="C19" s="1846"/>
    </row>
    <row r="20" spans="1:3" ht="14" x14ac:dyDescent="0.25">
      <c r="A20" s="397" t="s">
        <v>317</v>
      </c>
      <c r="B20" s="1847"/>
      <c r="C20" s="1848"/>
    </row>
    <row r="21" spans="1:3" ht="14" x14ac:dyDescent="0.25">
      <c r="A21" s="397" t="s">
        <v>318</v>
      </c>
      <c r="B21" s="1847"/>
      <c r="C21" s="1848"/>
    </row>
    <row r="22" spans="1:3" ht="14" x14ac:dyDescent="0.25">
      <c r="A22" s="397" t="s">
        <v>319</v>
      </c>
      <c r="B22" s="1847"/>
      <c r="C22" s="1848"/>
    </row>
    <row r="23" spans="1:3" ht="14.5" thickBot="1" x14ac:dyDescent="0.3">
      <c r="A23" s="398" t="s">
        <v>320</v>
      </c>
      <c r="B23" s="1833" t="s">
        <v>2078</v>
      </c>
      <c r="C23" s="1834"/>
    </row>
    <row r="24" spans="1:3" ht="14" x14ac:dyDescent="0.3">
      <c r="A24" s="393"/>
      <c r="B24" s="393"/>
    </row>
    <row r="25" spans="1:3" ht="14" x14ac:dyDescent="0.3">
      <c r="A25" s="392" t="s">
        <v>321</v>
      </c>
      <c r="B25" s="392"/>
    </row>
    <row r="26" spans="1:3" ht="14.5" thickBot="1" x14ac:dyDescent="0.35">
      <c r="A26" s="393"/>
      <c r="B26" s="393"/>
    </row>
    <row r="27" spans="1:3" ht="14" x14ac:dyDescent="0.25">
      <c r="A27" s="1835" t="s">
        <v>322</v>
      </c>
      <c r="B27" s="1836"/>
      <c r="C27" s="417"/>
    </row>
    <row r="28" spans="1:3" ht="14" x14ac:dyDescent="0.25">
      <c r="A28" s="1830" t="s">
        <v>323</v>
      </c>
      <c r="B28" s="1831"/>
      <c r="C28" s="418"/>
    </row>
    <row r="29" spans="1:3" ht="28.5" customHeight="1" x14ac:dyDescent="0.25">
      <c r="A29" s="1830" t="s">
        <v>2070</v>
      </c>
      <c r="B29" s="1831"/>
      <c r="C29" s="418"/>
    </row>
    <row r="30" spans="1:3" ht="28.5" customHeight="1" x14ac:dyDescent="0.25">
      <c r="A30" s="1830" t="s">
        <v>2071</v>
      </c>
      <c r="B30" s="1831"/>
      <c r="C30" s="418"/>
    </row>
    <row r="31" spans="1:3" ht="28.5" customHeight="1" x14ac:dyDescent="0.25">
      <c r="A31" s="1830" t="s">
        <v>2072</v>
      </c>
      <c r="B31" s="1831"/>
      <c r="C31" s="418"/>
    </row>
    <row r="32" spans="1:3" ht="14.5" thickBot="1" x14ac:dyDescent="0.3">
      <c r="A32" s="1849" t="s">
        <v>2073</v>
      </c>
      <c r="B32" s="1850"/>
      <c r="C32" s="419"/>
    </row>
    <row r="33" spans="1:3" ht="14" x14ac:dyDescent="0.3">
      <c r="A33" s="393"/>
      <c r="B33" s="393"/>
    </row>
    <row r="34" spans="1:3" ht="14" x14ac:dyDescent="0.3">
      <c r="A34" s="392" t="s">
        <v>2074</v>
      </c>
      <c r="B34" s="392"/>
    </row>
    <row r="35" spans="1:3" ht="14.5" thickBot="1" x14ac:dyDescent="0.35">
      <c r="A35" s="393"/>
      <c r="B35" s="393"/>
    </row>
    <row r="36" spans="1:3" ht="14" x14ac:dyDescent="0.3">
      <c r="A36" s="1853" t="s">
        <v>2089</v>
      </c>
      <c r="B36" s="1854"/>
      <c r="C36" s="1109" t="e">
        <f>IF(INTERPRETATIE!G91="schema 1","Minimaal",IF(INTERPRETATIE!G91="schema 2","Middelmatig","Maximaal"))</f>
        <v>#DIV/0!</v>
      </c>
    </row>
    <row r="37" spans="1:3" ht="14" x14ac:dyDescent="0.25">
      <c r="A37" s="1851" t="s">
        <v>2075</v>
      </c>
      <c r="B37" s="1852"/>
      <c r="C37" s="420"/>
    </row>
    <row r="38" spans="1:3" ht="29.25" customHeight="1" thickBot="1" x14ac:dyDescent="0.3">
      <c r="A38" s="1849" t="s">
        <v>2076</v>
      </c>
      <c r="B38" s="1850"/>
      <c r="C38" s="419"/>
    </row>
    <row r="39" spans="1:3" ht="14" x14ac:dyDescent="0.3">
      <c r="A39" s="393"/>
      <c r="B39" s="393"/>
    </row>
    <row r="40" spans="1:3" ht="14" x14ac:dyDescent="0.3">
      <c r="A40" s="388" t="s">
        <v>2079</v>
      </c>
      <c r="B40" s="388"/>
    </row>
    <row r="41" spans="1:3" ht="14" x14ac:dyDescent="0.3">
      <c r="A41" s="394"/>
      <c r="B41" s="394"/>
    </row>
    <row r="42" spans="1:3" ht="14" x14ac:dyDescent="0.3">
      <c r="A42" s="1838" t="s">
        <v>2077</v>
      </c>
      <c r="B42" s="1838"/>
      <c r="C42" s="1838"/>
    </row>
    <row r="43" spans="1:3" ht="14" x14ac:dyDescent="0.3">
      <c r="A43" s="1200"/>
      <c r="B43" s="1200"/>
      <c r="C43" s="1200"/>
    </row>
    <row r="44" spans="1:3" ht="14" x14ac:dyDescent="0.3">
      <c r="A44" s="1200"/>
      <c r="B44" s="1200"/>
      <c r="C44" s="1200"/>
    </row>
    <row r="45" spans="1:3" ht="14" x14ac:dyDescent="0.3">
      <c r="A45" s="1200"/>
      <c r="B45" s="1200"/>
      <c r="C45" s="1200"/>
    </row>
    <row r="46" spans="1:3" ht="14" x14ac:dyDescent="0.3">
      <c r="A46" s="1200"/>
      <c r="B46" s="1200"/>
      <c r="C46" s="1200"/>
    </row>
    <row r="47" spans="1:3" ht="14" x14ac:dyDescent="0.3">
      <c r="A47" s="1200"/>
      <c r="B47" s="1200"/>
      <c r="C47" s="1200"/>
    </row>
    <row r="48" spans="1:3" ht="14" x14ac:dyDescent="0.3">
      <c r="A48" s="1200"/>
      <c r="B48" s="1200"/>
      <c r="C48" s="1200"/>
    </row>
    <row r="49" spans="1:3" ht="14" x14ac:dyDescent="0.3">
      <c r="A49" s="395" t="str">
        <f>CIJFERS!C58</f>
        <v>Federale Gezondheidsinspectie van Antwerpen</v>
      </c>
      <c r="B49" s="395"/>
    </row>
    <row r="50" spans="1:3" ht="14" x14ac:dyDescent="0.3">
      <c r="A50" s="395" t="str">
        <f>CIJFERS!C59</f>
        <v>Melding PRIMA aan het hulpcentrum 100</v>
      </c>
      <c r="B50" s="395"/>
    </row>
    <row r="51" spans="1:3" ht="15.5" x14ac:dyDescent="0.35">
      <c r="A51" s="1837" t="str">
        <f>CIJFERS!C60</f>
        <v>en aan de operationele diensten die potentieel opgeroepen worden</v>
      </c>
      <c r="B51" s="1837"/>
      <c r="C51" s="326"/>
    </row>
    <row r="52" spans="1:3" ht="15.5" x14ac:dyDescent="0.35">
      <c r="A52" s="1206"/>
      <c r="B52" s="222"/>
      <c r="C52" s="326"/>
    </row>
    <row r="53" spans="1:3" ht="27.75" customHeight="1" x14ac:dyDescent="0.25">
      <c r="A53" s="1822" t="str">
        <f>CIJFERS!C39</f>
        <v>Pelikaanstraat 4 - 2de verdieping - 2018 Antwerpen - www.health.fgov.be</v>
      </c>
      <c r="B53" s="1822"/>
      <c r="C53" s="1822"/>
    </row>
  </sheetData>
  <sheetProtection password="C534" sheet="1" objects="1" scenarios="1"/>
  <mergeCells count="22">
    <mergeCell ref="A51:B51"/>
    <mergeCell ref="A53:C53"/>
    <mergeCell ref="A42:C42"/>
    <mergeCell ref="B12:C12"/>
    <mergeCell ref="B13:C13"/>
    <mergeCell ref="B14:C14"/>
    <mergeCell ref="B19:C19"/>
    <mergeCell ref="B20:C20"/>
    <mergeCell ref="B21:C21"/>
    <mergeCell ref="B22:C22"/>
    <mergeCell ref="A32:B32"/>
    <mergeCell ref="A38:B38"/>
    <mergeCell ref="A37:B37"/>
    <mergeCell ref="A36:B36"/>
    <mergeCell ref="A4:C4"/>
    <mergeCell ref="A31:B31"/>
    <mergeCell ref="A28:B28"/>
    <mergeCell ref="A29:B29"/>
    <mergeCell ref="A7:C7"/>
    <mergeCell ref="A30:B30"/>
    <mergeCell ref="B23:C23"/>
    <mergeCell ref="A27:B27"/>
  </mergeCells>
  <phoneticPr fontId="2" type="noConversion"/>
  <pageMargins left="0.75" right="0.75" top="0.83" bottom="0.61" header="0.26" footer="0.32"/>
  <pageSetup scale="76" orientation="portrait" r:id="rId1"/>
  <headerFooter alignWithMargins="0">
    <oddHeader xml:space="preserve">&amp;L&amp;G&amp;RFOD Volksgezondheid, Veiligheid van de Voedselketen en Leefmilieu
OPERATIONELE GEGEVENS VAN EEN MANIFESTATIE
</oddHeader>
    <oddFooter>&amp;R1
Datum outprint : &amp;D</oddFooter>
  </headerFooter>
  <drawing r:id="rId2"/>
  <legacyDrawing r:id="rId3"/>
  <legacyDrawingHF r:id="rId4"/>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
  <dimension ref="A1:I61"/>
  <sheetViews>
    <sheetView topLeftCell="A34" zoomScale="75" workbookViewId="0">
      <selection activeCell="C41" sqref="C41:H41"/>
    </sheetView>
  </sheetViews>
  <sheetFormatPr defaultRowHeight="12.5" x14ac:dyDescent="0.25"/>
  <cols>
    <col min="1" max="1" width="14.81640625" bestFit="1" customWidth="1"/>
    <col min="2" max="2" width="12.54296875" bestFit="1" customWidth="1"/>
    <col min="3" max="3" width="52.54296875" customWidth="1"/>
    <col min="4" max="4" width="7.7265625" bestFit="1" customWidth="1"/>
    <col min="5" max="5" width="3.453125" bestFit="1" customWidth="1"/>
    <col min="7" max="7" width="2.453125" customWidth="1"/>
    <col min="8" max="8" width="81.7265625" bestFit="1" customWidth="1"/>
  </cols>
  <sheetData>
    <row r="1" spans="1:9" ht="13" thickBot="1" x14ac:dyDescent="0.3"/>
    <row r="2" spans="1:9" ht="13.5" customHeight="1" thickBot="1" x14ac:dyDescent="0.35">
      <c r="A2" s="106" t="s">
        <v>2178</v>
      </c>
      <c r="B2" s="735" t="s">
        <v>2179</v>
      </c>
      <c r="C2" s="736" t="s">
        <v>2182</v>
      </c>
      <c r="D2" s="736" t="s">
        <v>2184</v>
      </c>
      <c r="E2" s="1220">
        <v>8</v>
      </c>
      <c r="F2" s="742" t="s">
        <v>193</v>
      </c>
      <c r="H2" s="1855" t="s">
        <v>645</v>
      </c>
      <c r="I2" s="1856"/>
    </row>
    <row r="3" spans="1:9" ht="12.75" customHeight="1" x14ac:dyDescent="0.25">
      <c r="A3" s="740" t="s">
        <v>2126</v>
      </c>
      <c r="B3" s="739"/>
      <c r="C3" s="734" t="s">
        <v>2183</v>
      </c>
      <c r="D3" s="734" t="s">
        <v>2184</v>
      </c>
      <c r="E3" s="1219">
        <v>15</v>
      </c>
      <c r="F3" s="743" t="s">
        <v>193</v>
      </c>
      <c r="H3" s="746" t="str">
        <f>INTERPRETATIE!E55</f>
        <v>Gemiddelde duur van de verzorging in minuten</v>
      </c>
      <c r="I3" s="1222">
        <v>12</v>
      </c>
    </row>
    <row r="4" spans="1:9" ht="13.5" customHeight="1" thickBot="1" x14ac:dyDescent="0.3">
      <c r="A4" s="740"/>
      <c r="B4" s="737"/>
      <c r="C4" s="738" t="s">
        <v>168</v>
      </c>
      <c r="D4" s="738" t="s">
        <v>2185</v>
      </c>
      <c r="E4" s="1221">
        <f>E3</f>
        <v>15</v>
      </c>
      <c r="F4" s="744" t="s">
        <v>193</v>
      </c>
      <c r="H4" s="747" t="str">
        <f>INTERPRETATIE!E56</f>
        <v>Oppervlakte per patiënt in m² (inclusief administratie en stockage, exclusief coördinatie)</v>
      </c>
      <c r="I4" s="1223">
        <v>12</v>
      </c>
    </row>
    <row r="5" spans="1:9" x14ac:dyDescent="0.25">
      <c r="A5" s="740"/>
      <c r="B5" s="735" t="s">
        <v>1118</v>
      </c>
      <c r="C5" s="736" t="s">
        <v>2186</v>
      </c>
      <c r="D5" s="736" t="s">
        <v>2184</v>
      </c>
      <c r="E5" s="1220">
        <v>10</v>
      </c>
      <c r="F5" s="742" t="s">
        <v>193</v>
      </c>
      <c r="H5" s="747" t="str">
        <f>INTERPRETATIE!D62</f>
        <v>Aantal levensbedreigende aandoeningen (na regulatie)</v>
      </c>
      <c r="I5" s="1223">
        <v>1.9E-2</v>
      </c>
    </row>
    <row r="6" spans="1:9" x14ac:dyDescent="0.25">
      <c r="A6" s="740"/>
      <c r="B6" s="739"/>
      <c r="C6" s="734" t="s">
        <v>2187</v>
      </c>
      <c r="D6" s="734" t="s">
        <v>2184</v>
      </c>
      <c r="E6" s="1219">
        <v>20</v>
      </c>
      <c r="F6" s="743" t="s">
        <v>193</v>
      </c>
      <c r="H6" s="747" t="str">
        <f>INTERPRETATIE!D63</f>
        <v>Aantal dringende aandoeningen (vraag voor arts en/of voor ambulancetransport naar ziekenhuis)</v>
      </c>
      <c r="I6" s="1223">
        <v>0.19</v>
      </c>
    </row>
    <row r="7" spans="1:9" ht="13" thickBot="1" x14ac:dyDescent="0.3">
      <c r="A7" s="741"/>
      <c r="B7" s="737"/>
      <c r="C7" s="738" t="s">
        <v>2188</v>
      </c>
      <c r="D7" s="738" t="s">
        <v>2185</v>
      </c>
      <c r="E7" s="1221">
        <f>E6</f>
        <v>20</v>
      </c>
      <c r="F7" s="744" t="s">
        <v>193</v>
      </c>
      <c r="H7" s="748" t="str">
        <f>INTERPRETATIE!D64</f>
        <v>Aantal vragen voor (eenvoudige) medische verzorging</v>
      </c>
      <c r="I7" s="1224">
        <v>2</v>
      </c>
    </row>
    <row r="8" spans="1:9" ht="13" thickBot="1" x14ac:dyDescent="0.3"/>
    <row r="9" spans="1:9" ht="15" customHeight="1" x14ac:dyDescent="0.25">
      <c r="A9" s="106" t="s">
        <v>2178</v>
      </c>
      <c r="B9" s="735" t="s">
        <v>2179</v>
      </c>
      <c r="C9" s="736" t="s">
        <v>2189</v>
      </c>
      <c r="D9" s="1213">
        <v>5000</v>
      </c>
      <c r="H9" s="1859" t="s">
        <v>1695</v>
      </c>
      <c r="I9" s="1860"/>
    </row>
    <row r="10" spans="1:9" ht="13" thickBot="1" x14ac:dyDescent="0.3">
      <c r="A10" s="740" t="s">
        <v>2127</v>
      </c>
      <c r="B10" s="739"/>
      <c r="C10" s="734" t="s">
        <v>2190</v>
      </c>
      <c r="D10" s="1214">
        <v>10000</v>
      </c>
      <c r="H10" s="1861"/>
      <c r="I10" s="1862"/>
    </row>
    <row r="11" spans="1:9" ht="13" thickBot="1" x14ac:dyDescent="0.3">
      <c r="A11" s="740"/>
      <c r="B11" s="739"/>
      <c r="C11" s="734" t="s">
        <v>2191</v>
      </c>
      <c r="D11" s="1214">
        <v>20000</v>
      </c>
    </row>
    <row r="12" spans="1:9" ht="13.5" thickBot="1" x14ac:dyDescent="0.35">
      <c r="A12" s="740"/>
      <c r="B12" s="739"/>
      <c r="C12" s="734" t="s">
        <v>2192</v>
      </c>
      <c r="D12" s="1214">
        <v>40000</v>
      </c>
      <c r="H12" s="1857" t="s">
        <v>646</v>
      </c>
      <c r="I12" s="1858"/>
    </row>
    <row r="13" spans="1:9" x14ac:dyDescent="0.25">
      <c r="A13" s="740"/>
      <c r="B13" s="739"/>
      <c r="C13" s="734" t="s">
        <v>2193</v>
      </c>
      <c r="D13" s="1214">
        <v>60000</v>
      </c>
      <c r="H13" s="746" t="str">
        <f>H3</f>
        <v>Gemiddelde duur van de verzorging in minuten</v>
      </c>
      <c r="I13" s="1222">
        <v>12</v>
      </c>
    </row>
    <row r="14" spans="1:9" x14ac:dyDescent="0.25">
      <c r="A14" s="740"/>
      <c r="B14" s="739"/>
      <c r="C14" s="734" t="s">
        <v>2194</v>
      </c>
      <c r="D14" s="1214">
        <v>80000</v>
      </c>
      <c r="H14" s="747" t="str">
        <f>H4</f>
        <v>Oppervlakte per patiënt in m² (inclusief administratie en stockage, exclusief coördinatie)</v>
      </c>
      <c r="I14" s="1223">
        <v>12</v>
      </c>
    </row>
    <row r="15" spans="1:9" x14ac:dyDescent="0.25">
      <c r="A15" s="740"/>
      <c r="B15" s="739"/>
      <c r="C15" s="734" t="s">
        <v>2195</v>
      </c>
      <c r="D15" s="1215">
        <v>100000</v>
      </c>
      <c r="H15" s="747" t="str">
        <f>H5</f>
        <v>Aantal levensbedreigende aandoeningen (na regulatie)</v>
      </c>
      <c r="I15" s="1223">
        <v>1</v>
      </c>
    </row>
    <row r="16" spans="1:9" ht="13" thickBot="1" x14ac:dyDescent="0.3">
      <c r="A16" s="740"/>
      <c r="B16" s="737"/>
      <c r="C16" s="734" t="s">
        <v>2196</v>
      </c>
      <c r="D16" s="1216">
        <v>120000</v>
      </c>
      <c r="H16" s="747" t="str">
        <f>H6</f>
        <v>Aantal dringende aandoeningen (vraag voor arts en/of voor ambulancetransport naar ziekenhuis)</v>
      </c>
      <c r="I16" s="1223">
        <v>40</v>
      </c>
    </row>
    <row r="17" spans="1:9" ht="13" thickBot="1" x14ac:dyDescent="0.3">
      <c r="A17" s="740"/>
      <c r="B17" s="735" t="s">
        <v>1118</v>
      </c>
      <c r="C17" s="736" t="s">
        <v>2180</v>
      </c>
      <c r="D17" s="1213">
        <v>50000</v>
      </c>
      <c r="H17" s="748" t="str">
        <f>H7</f>
        <v>Aantal vragen voor (eenvoudige) medische verzorging</v>
      </c>
      <c r="I17" s="1224">
        <v>200</v>
      </c>
    </row>
    <row r="18" spans="1:9" ht="13" thickBot="1" x14ac:dyDescent="0.3">
      <c r="A18" s="741"/>
      <c r="B18" s="737"/>
      <c r="C18" s="738" t="s">
        <v>2181</v>
      </c>
      <c r="D18" s="1216">
        <v>120000</v>
      </c>
    </row>
    <row r="19" spans="1:9" x14ac:dyDescent="0.25">
      <c r="D19" s="1208"/>
    </row>
    <row r="20" spans="1:9" ht="13" x14ac:dyDescent="0.3">
      <c r="C20" s="851" t="s">
        <v>1109</v>
      </c>
      <c r="D20" s="1208"/>
    </row>
    <row r="21" spans="1:9" x14ac:dyDescent="0.25">
      <c r="C21" s="734" t="s">
        <v>1108</v>
      </c>
      <c r="D21" s="1217">
        <v>1.05</v>
      </c>
    </row>
    <row r="22" spans="1:9" x14ac:dyDescent="0.25">
      <c r="D22" s="1208"/>
    </row>
    <row r="23" spans="1:9" ht="13" x14ac:dyDescent="0.3">
      <c r="C23" s="851" t="s">
        <v>2298</v>
      </c>
      <c r="D23" s="1218"/>
    </row>
    <row r="24" spans="1:9" x14ac:dyDescent="0.25">
      <c r="C24" s="734" t="s">
        <v>2185</v>
      </c>
      <c r="D24" s="1219">
        <v>3000</v>
      </c>
    </row>
    <row r="25" spans="1:9" x14ac:dyDescent="0.25">
      <c r="D25" s="1208"/>
    </row>
    <row r="26" spans="1:9" x14ac:dyDescent="0.25">
      <c r="D26" s="1208"/>
    </row>
    <row r="27" spans="1:9" ht="13" x14ac:dyDescent="0.3">
      <c r="A27" s="1863" t="s">
        <v>1933</v>
      </c>
      <c r="B27" s="1863"/>
      <c r="C27" s="1863"/>
      <c r="D27" s="1208"/>
    </row>
    <row r="28" spans="1:9" x14ac:dyDescent="0.25">
      <c r="D28" s="1208"/>
    </row>
    <row r="29" spans="1:9" x14ac:dyDescent="0.25">
      <c r="A29" s="1866" t="s">
        <v>1934</v>
      </c>
      <c r="B29" s="1866"/>
      <c r="C29" s="1866"/>
      <c r="D29" s="1219">
        <v>500</v>
      </c>
    </row>
    <row r="30" spans="1:9" x14ac:dyDescent="0.25">
      <c r="A30" s="1866" t="s">
        <v>1935</v>
      </c>
      <c r="B30" s="1866"/>
      <c r="C30" s="1866"/>
      <c r="D30" s="1219"/>
    </row>
    <row r="31" spans="1:9" x14ac:dyDescent="0.25">
      <c r="A31" s="1866"/>
      <c r="B31" s="1866"/>
      <c r="C31" s="1866"/>
      <c r="D31" s="1219"/>
    </row>
    <row r="32" spans="1:9" x14ac:dyDescent="0.25">
      <c r="A32" s="1866"/>
      <c r="B32" s="1866"/>
      <c r="C32" s="1866"/>
      <c r="D32" s="1219"/>
    </row>
    <row r="35" spans="1:8" ht="18" x14ac:dyDescent="0.4">
      <c r="A35" s="1867" t="s">
        <v>366</v>
      </c>
      <c r="B35" s="1868"/>
      <c r="C35" s="1869"/>
      <c r="D35" s="1207"/>
      <c r="E35" s="1207"/>
      <c r="F35" s="1208"/>
      <c r="G35" s="1208"/>
      <c r="H35" s="1208"/>
    </row>
    <row r="36" spans="1:8" ht="17.5" x14ac:dyDescent="0.35">
      <c r="A36" s="1870" t="s">
        <v>367</v>
      </c>
      <c r="B36" s="1870"/>
      <c r="C36" s="1209" t="s">
        <v>2091</v>
      </c>
      <c r="D36" s="1207"/>
      <c r="E36" s="1207"/>
      <c r="F36" s="1208"/>
      <c r="G36" s="1208"/>
      <c r="H36" s="1208"/>
    </row>
    <row r="37" spans="1:8" ht="17.5" x14ac:dyDescent="0.35">
      <c r="A37" s="1864" t="s">
        <v>369</v>
      </c>
      <c r="B37" s="1865"/>
      <c r="C37" s="1209" t="s">
        <v>265</v>
      </c>
      <c r="D37" s="1207"/>
      <c r="E37" s="1207"/>
      <c r="F37" s="1208"/>
      <c r="G37" s="1208"/>
      <c r="H37" s="1208"/>
    </row>
    <row r="38" spans="1:8" ht="17.5" x14ac:dyDescent="0.35">
      <c r="A38" s="1864" t="s">
        <v>368</v>
      </c>
      <c r="B38" s="1865"/>
      <c r="C38" s="1210" t="s">
        <v>532</v>
      </c>
      <c r="D38" s="1207"/>
      <c r="E38" s="1207"/>
      <c r="F38" s="1208"/>
      <c r="G38" s="1208"/>
      <c r="H38" s="1208"/>
    </row>
    <row r="39" spans="1:8" ht="17.5" x14ac:dyDescent="0.35">
      <c r="A39" s="1864" t="s">
        <v>370</v>
      </c>
      <c r="B39" s="1865"/>
      <c r="C39" s="1873" t="s">
        <v>391</v>
      </c>
      <c r="D39" s="1874"/>
      <c r="E39" s="1874"/>
      <c r="F39" s="1874"/>
      <c r="G39" s="1874"/>
      <c r="H39" s="1875"/>
    </row>
    <row r="40" spans="1:8" ht="17.5" x14ac:dyDescent="0.35">
      <c r="A40" s="1877"/>
      <c r="B40" s="1878"/>
      <c r="C40" s="1211"/>
      <c r="D40" s="1207"/>
      <c r="E40" s="1207"/>
      <c r="F40" s="1208"/>
      <c r="G40" s="1208"/>
      <c r="H40" s="1208"/>
    </row>
    <row r="41" spans="1:8" ht="17.5" x14ac:dyDescent="0.35">
      <c r="A41" s="1870" t="s">
        <v>374</v>
      </c>
      <c r="B41" s="1870"/>
      <c r="C41" s="1876" t="s">
        <v>373</v>
      </c>
      <c r="D41" s="1876"/>
      <c r="E41" s="1876"/>
      <c r="F41" s="1876"/>
      <c r="G41" s="1876"/>
      <c r="H41" s="1876"/>
    </row>
    <row r="42" spans="1:8" ht="18.75" customHeight="1" x14ac:dyDescent="0.4">
      <c r="A42" s="1872" t="s">
        <v>397</v>
      </c>
      <c r="B42" s="1872"/>
      <c r="C42" s="1886" t="s">
        <v>266</v>
      </c>
      <c r="D42" s="1886"/>
      <c r="E42" s="1886"/>
      <c r="F42" s="1886"/>
      <c r="G42" s="1886"/>
      <c r="H42" s="1886"/>
    </row>
    <row r="43" spans="1:8" ht="18.75" customHeight="1" x14ac:dyDescent="0.4">
      <c r="A43" s="1872"/>
      <c r="B43" s="1872"/>
      <c r="C43" s="1886" t="s">
        <v>267</v>
      </c>
      <c r="D43" s="1886"/>
      <c r="E43" s="1886"/>
      <c r="F43" s="1886"/>
      <c r="G43" s="1886"/>
      <c r="H43" s="1886"/>
    </row>
    <row r="44" spans="1:8" ht="18.75" customHeight="1" x14ac:dyDescent="0.4">
      <c r="A44" s="1872"/>
      <c r="B44" s="1872"/>
      <c r="C44" s="1886" t="s">
        <v>268</v>
      </c>
      <c r="D44" s="1886"/>
      <c r="E44" s="1886"/>
      <c r="F44" s="1886"/>
      <c r="G44" s="1886"/>
      <c r="H44" s="1886"/>
    </row>
    <row r="45" spans="1:8" ht="17.5" x14ac:dyDescent="0.35">
      <c r="A45" s="1872" t="s">
        <v>377</v>
      </c>
      <c r="B45" s="1872"/>
      <c r="C45" s="1212" t="s">
        <v>383</v>
      </c>
      <c r="D45" s="1212"/>
      <c r="E45" s="1212"/>
      <c r="F45" s="1208"/>
      <c r="G45" s="1208"/>
      <c r="H45" s="1208"/>
    </row>
    <row r="46" spans="1:8" ht="17.5" x14ac:dyDescent="0.35">
      <c r="A46" s="1872" t="s">
        <v>375</v>
      </c>
      <c r="B46" s="1872"/>
      <c r="C46" s="1209" t="s">
        <v>384</v>
      </c>
      <c r="D46" s="1209"/>
      <c r="E46" s="1209"/>
      <c r="F46" s="1208"/>
      <c r="G46" s="1208"/>
      <c r="H46" s="1208"/>
    </row>
    <row r="47" spans="1:8" ht="17.5" x14ac:dyDescent="0.35">
      <c r="A47" s="1872" t="s">
        <v>376</v>
      </c>
      <c r="B47" s="1872"/>
      <c r="C47" s="1209" t="s">
        <v>385</v>
      </c>
      <c r="D47" s="1209"/>
      <c r="E47" s="1209"/>
      <c r="F47" s="1208"/>
      <c r="G47" s="1208"/>
      <c r="H47" s="1208"/>
    </row>
    <row r="48" spans="1:8" ht="17.5" x14ac:dyDescent="0.35">
      <c r="A48" s="1207"/>
      <c r="B48" s="1207"/>
      <c r="C48" s="1207"/>
      <c r="D48" s="1207"/>
      <c r="E48" s="1207"/>
      <c r="F48" s="1208"/>
      <c r="G48" s="1208"/>
      <c r="H48" s="1208"/>
    </row>
    <row r="49" spans="1:8" ht="17.5" x14ac:dyDescent="0.35">
      <c r="A49" s="1207"/>
      <c r="B49" s="1207"/>
      <c r="C49" s="1207"/>
      <c r="D49" s="1207"/>
      <c r="E49" s="1207"/>
      <c r="F49" s="1208"/>
      <c r="G49" s="1208"/>
      <c r="H49" s="1208"/>
    </row>
    <row r="50" spans="1:8" ht="17.5" x14ac:dyDescent="0.35">
      <c r="A50" s="1207"/>
      <c r="B50" s="1207"/>
      <c r="C50" s="1207"/>
      <c r="D50" s="1207"/>
      <c r="E50" s="1207"/>
      <c r="F50" s="1208"/>
      <c r="G50" s="1208"/>
      <c r="H50" s="1208"/>
    </row>
    <row r="51" spans="1:8" ht="17.5" x14ac:dyDescent="0.35">
      <c r="A51" s="1887"/>
      <c r="B51" s="1887"/>
      <c r="C51" s="1207"/>
      <c r="D51" s="1207"/>
      <c r="E51" s="1207"/>
      <c r="F51" s="1208"/>
      <c r="G51" s="1208"/>
      <c r="H51" s="1208"/>
    </row>
    <row r="52" spans="1:8" ht="17.5" x14ac:dyDescent="0.35">
      <c r="A52" s="1888" t="s">
        <v>390</v>
      </c>
      <c r="B52" s="1889"/>
      <c r="C52" s="1871" t="s">
        <v>386</v>
      </c>
      <c r="D52" s="1871"/>
      <c r="E52" s="1871"/>
      <c r="F52" s="1871"/>
      <c r="G52" s="1871"/>
      <c r="H52" s="1871"/>
    </row>
    <row r="53" spans="1:8" ht="17.5" x14ac:dyDescent="0.35">
      <c r="A53" s="1890"/>
      <c r="B53" s="1891"/>
      <c r="C53" s="1871" t="s">
        <v>387</v>
      </c>
      <c r="D53" s="1871"/>
      <c r="E53" s="1871"/>
      <c r="F53" s="1871"/>
      <c r="G53" s="1871"/>
      <c r="H53" s="1871"/>
    </row>
    <row r="54" spans="1:8" ht="17.5" x14ac:dyDescent="0.35">
      <c r="A54" s="1890"/>
      <c r="B54" s="1891"/>
      <c r="C54" s="1871" t="s">
        <v>388</v>
      </c>
      <c r="D54" s="1871"/>
      <c r="E54" s="1871"/>
      <c r="F54" s="1871"/>
      <c r="G54" s="1871"/>
      <c r="H54" s="1871"/>
    </row>
    <row r="55" spans="1:8" ht="17.5" x14ac:dyDescent="0.35">
      <c r="A55" s="1892"/>
      <c r="B55" s="1893"/>
      <c r="C55" s="1871" t="s">
        <v>389</v>
      </c>
      <c r="D55" s="1871"/>
      <c r="E55" s="1871"/>
      <c r="F55" s="1871"/>
      <c r="G55" s="1871"/>
      <c r="H55" s="1871"/>
    </row>
    <row r="56" spans="1:8" ht="17.5" x14ac:dyDescent="0.35">
      <c r="A56" s="1205"/>
      <c r="B56" s="1205"/>
      <c r="C56" s="1207"/>
      <c r="D56" s="1207"/>
      <c r="E56" s="1207"/>
      <c r="F56" s="1208"/>
      <c r="G56" s="1208"/>
      <c r="H56" s="1208"/>
    </row>
    <row r="57" spans="1:8" ht="17.5" x14ac:dyDescent="0.35">
      <c r="A57" s="1205"/>
      <c r="B57" s="1205"/>
      <c r="C57" s="1207"/>
      <c r="D57" s="1207"/>
      <c r="E57" s="1207"/>
      <c r="F57" s="1208"/>
      <c r="G57" s="1208"/>
      <c r="H57" s="1208"/>
    </row>
    <row r="58" spans="1:8" ht="17.5" x14ac:dyDescent="0.35">
      <c r="A58" s="1880" t="s">
        <v>395</v>
      </c>
      <c r="B58" s="1881"/>
      <c r="C58" s="1871" t="s">
        <v>396</v>
      </c>
      <c r="D58" s="1879"/>
      <c r="E58" s="1879"/>
      <c r="F58" s="1879"/>
      <c r="G58" s="1879"/>
      <c r="H58" s="1879"/>
    </row>
    <row r="59" spans="1:8" ht="17.5" x14ac:dyDescent="0.35">
      <c r="A59" s="1882"/>
      <c r="B59" s="1883"/>
      <c r="C59" s="1871" t="s">
        <v>392</v>
      </c>
      <c r="D59" s="1879"/>
      <c r="E59" s="1879"/>
      <c r="F59" s="1879"/>
      <c r="G59" s="1879"/>
      <c r="H59" s="1879"/>
    </row>
    <row r="60" spans="1:8" ht="17.5" x14ac:dyDescent="0.35">
      <c r="A60" s="1882"/>
      <c r="B60" s="1883"/>
      <c r="C60" s="1871" t="s">
        <v>393</v>
      </c>
      <c r="D60" s="1879"/>
      <c r="E60" s="1879"/>
      <c r="F60" s="1879"/>
      <c r="G60" s="1879"/>
      <c r="H60" s="1879"/>
    </row>
    <row r="61" spans="1:8" ht="17.5" x14ac:dyDescent="0.35">
      <c r="A61" s="1884"/>
      <c r="B61" s="1885"/>
      <c r="C61" s="1871" t="s">
        <v>394</v>
      </c>
      <c r="D61" s="1879"/>
      <c r="E61" s="1879"/>
      <c r="F61" s="1879"/>
      <c r="G61" s="1879"/>
      <c r="H61" s="1879"/>
    </row>
  </sheetData>
  <sheetProtection password="C534" sheet="1" objects="1" scenarios="1"/>
  <mergeCells count="35">
    <mergeCell ref="C58:H58"/>
    <mergeCell ref="A38:B38"/>
    <mergeCell ref="A58:B61"/>
    <mergeCell ref="C42:H42"/>
    <mergeCell ref="C43:H43"/>
    <mergeCell ref="C44:H44"/>
    <mergeCell ref="A47:B47"/>
    <mergeCell ref="A51:B51"/>
    <mergeCell ref="A42:B44"/>
    <mergeCell ref="A52:B55"/>
    <mergeCell ref="C52:H52"/>
    <mergeCell ref="C59:H59"/>
    <mergeCell ref="C60:H60"/>
    <mergeCell ref="C61:H61"/>
    <mergeCell ref="C53:H53"/>
    <mergeCell ref="C54:H54"/>
    <mergeCell ref="C55:H55"/>
    <mergeCell ref="A45:B45"/>
    <mergeCell ref="A46:B46"/>
    <mergeCell ref="C39:H39"/>
    <mergeCell ref="C41:H41"/>
    <mergeCell ref="A41:B41"/>
    <mergeCell ref="A39:B39"/>
    <mergeCell ref="A40:B40"/>
    <mergeCell ref="H2:I2"/>
    <mergeCell ref="H12:I12"/>
    <mergeCell ref="H9:I10"/>
    <mergeCell ref="A27:C27"/>
    <mergeCell ref="A37:B37"/>
    <mergeCell ref="A29:C29"/>
    <mergeCell ref="A30:C30"/>
    <mergeCell ref="A31:C31"/>
    <mergeCell ref="A32:C32"/>
    <mergeCell ref="A35:C35"/>
    <mergeCell ref="A36:B36"/>
  </mergeCells>
  <phoneticPr fontId="2" type="noConversion"/>
  <pageMargins left="0.75" right="0.75" top="1" bottom="1" header="0.5" footer="0.5"/>
  <pageSetup paperSize="9" orientation="portrait" horizontalDpi="4294967293" r:id="rId1"/>
  <headerFooter alignWithMargins="0"/>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10"/>
  <dimension ref="A1:AO83"/>
  <sheetViews>
    <sheetView zoomScale="75" workbookViewId="0">
      <pane xSplit="4" ySplit="1" topLeftCell="E2" activePane="bottomRight" state="frozen"/>
      <selection pane="topRight" activeCell="E1" sqref="E1"/>
      <selection pane="bottomLeft" activeCell="A2" sqref="A2"/>
      <selection pane="bottomRight" activeCell="F2" sqref="F2"/>
    </sheetView>
  </sheetViews>
  <sheetFormatPr defaultRowHeight="12.5" x14ac:dyDescent="0.25"/>
  <cols>
    <col min="1" max="1" width="3" customWidth="1"/>
    <col min="2" max="2" width="21.7265625" bestFit="1" customWidth="1"/>
    <col min="3" max="3" width="3.54296875" bestFit="1" customWidth="1"/>
    <col min="4" max="4" width="38.54296875" bestFit="1" customWidth="1"/>
    <col min="5" max="5" width="29.7265625" customWidth="1"/>
    <col min="6" max="6" width="35.453125" customWidth="1"/>
    <col min="7" max="7" width="23.26953125" customWidth="1"/>
    <col min="8" max="8" width="19.54296875" customWidth="1"/>
    <col min="9" max="9" width="22.54296875" customWidth="1"/>
    <col min="10" max="12" width="3.54296875" customWidth="1"/>
    <col min="13" max="13" width="3.26953125" customWidth="1"/>
    <col min="14" max="14" width="6.81640625" customWidth="1"/>
    <col min="15" max="16" width="3.54296875" customWidth="1"/>
    <col min="17" max="25" width="2.81640625" customWidth="1"/>
    <col min="26" max="29" width="2.7265625" customWidth="1"/>
    <col min="30" max="30" width="3.1796875" bestFit="1" customWidth="1"/>
    <col min="31" max="31" width="2.7265625" customWidth="1"/>
    <col min="32" max="32" width="4" bestFit="1" customWidth="1"/>
    <col min="33" max="34" width="4.1796875" bestFit="1" customWidth="1"/>
    <col min="35" max="35" width="4" bestFit="1" customWidth="1"/>
    <col min="36" max="36" width="3.1796875" customWidth="1"/>
    <col min="37" max="37" width="3.1796875" bestFit="1" customWidth="1"/>
    <col min="38" max="39" width="3" customWidth="1"/>
  </cols>
  <sheetData>
    <row r="1" spans="1:9" ht="16" thickBot="1" x14ac:dyDescent="0.4">
      <c r="A1" s="1345" t="s">
        <v>1573</v>
      </c>
      <c r="B1" s="1896"/>
      <c r="C1" s="1896"/>
      <c r="D1" s="1896"/>
      <c r="E1" s="1896"/>
      <c r="F1" s="1896"/>
      <c r="G1" s="1896"/>
      <c r="H1" s="1896"/>
      <c r="I1" s="1896"/>
    </row>
    <row r="2" spans="1:9" ht="13" thickBot="1" x14ac:dyDescent="0.3"/>
    <row r="3" spans="1:9" ht="14.5" thickBot="1" x14ac:dyDescent="0.35">
      <c r="A3" s="1897" t="s">
        <v>55</v>
      </c>
      <c r="B3" s="1898"/>
      <c r="C3" s="1898"/>
      <c r="D3" s="1898"/>
      <c r="E3" s="1898"/>
      <c r="F3" s="1898"/>
      <c r="G3" s="1898"/>
      <c r="H3" s="1898"/>
      <c r="I3" s="1898"/>
    </row>
    <row r="4" spans="1:9" ht="13" thickBot="1" x14ac:dyDescent="0.3"/>
    <row r="5" spans="1:9" ht="13.5" thickBot="1" x14ac:dyDescent="0.3">
      <c r="B5" s="21" t="s">
        <v>1511</v>
      </c>
      <c r="C5" s="22" t="s">
        <v>1512</v>
      </c>
      <c r="D5" s="22" t="s">
        <v>1692</v>
      </c>
      <c r="E5" s="1899" t="s">
        <v>1771</v>
      </c>
      <c r="F5" s="1899"/>
      <c r="G5" s="1900"/>
      <c r="H5" s="23"/>
    </row>
    <row r="6" spans="1:9" x14ac:dyDescent="0.25">
      <c r="B6" s="1901" t="s">
        <v>1773</v>
      </c>
      <c r="C6" s="224">
        <v>1</v>
      </c>
      <c r="D6" s="224" t="s">
        <v>1774</v>
      </c>
      <c r="E6" s="24" t="s">
        <v>1775</v>
      </c>
      <c r="F6" s="25" t="s">
        <v>1776</v>
      </c>
      <c r="G6" s="26" t="s">
        <v>1777</v>
      </c>
      <c r="H6" s="23"/>
    </row>
    <row r="7" spans="1:9" x14ac:dyDescent="0.25">
      <c r="B7" s="1895"/>
      <c r="C7" s="225">
        <v>2</v>
      </c>
      <c r="D7" s="225" t="s">
        <v>1778</v>
      </c>
      <c r="E7" s="28" t="s">
        <v>1779</v>
      </c>
      <c r="F7" s="29" t="s">
        <v>1780</v>
      </c>
      <c r="G7" s="30" t="s">
        <v>1777</v>
      </c>
      <c r="H7" s="23"/>
    </row>
    <row r="8" spans="1:9" ht="62.25" customHeight="1" x14ac:dyDescent="0.25">
      <c r="B8" s="1894" t="s">
        <v>1781</v>
      </c>
      <c r="C8" s="225">
        <v>3</v>
      </c>
      <c r="D8" s="225" t="s">
        <v>1782</v>
      </c>
      <c r="E8" s="28" t="s">
        <v>1783</v>
      </c>
      <c r="F8" s="29" t="s">
        <v>1784</v>
      </c>
      <c r="G8" s="30" t="s">
        <v>1785</v>
      </c>
      <c r="H8" s="23"/>
    </row>
    <row r="9" spans="1:9" ht="66" customHeight="1" x14ac:dyDescent="0.25">
      <c r="B9" s="1895"/>
      <c r="C9" s="225">
        <v>4</v>
      </c>
      <c r="D9" s="225" t="s">
        <v>1786</v>
      </c>
      <c r="E9" s="28" t="s">
        <v>1787</v>
      </c>
      <c r="F9" s="29" t="s">
        <v>1788</v>
      </c>
      <c r="G9" s="30" t="s">
        <v>1789</v>
      </c>
      <c r="H9" s="23"/>
    </row>
    <row r="10" spans="1:9" ht="25.5" thickBot="1" x14ac:dyDescent="0.3">
      <c r="B10" s="1894" t="s">
        <v>1790</v>
      </c>
      <c r="C10" s="225">
        <v>5</v>
      </c>
      <c r="D10" s="225" t="s">
        <v>758</v>
      </c>
      <c r="E10" s="28" t="s">
        <v>759</v>
      </c>
      <c r="F10" s="29" t="s">
        <v>760</v>
      </c>
      <c r="G10" s="30" t="s">
        <v>761</v>
      </c>
      <c r="H10" s="23"/>
    </row>
    <row r="11" spans="1:9" ht="13" thickBot="1" x14ac:dyDescent="0.3">
      <c r="B11" s="1895"/>
      <c r="C11" s="225">
        <v>6</v>
      </c>
      <c r="D11" s="225" t="s">
        <v>1683</v>
      </c>
      <c r="E11" s="31" t="s">
        <v>1684</v>
      </c>
      <c r="F11" s="29" t="s">
        <v>1685</v>
      </c>
      <c r="G11" s="32"/>
      <c r="H11" s="23"/>
      <c r="I11" s="106" t="s">
        <v>1579</v>
      </c>
    </row>
    <row r="12" spans="1:9" ht="25.5" thickBot="1" x14ac:dyDescent="0.35">
      <c r="B12" s="1894" t="s">
        <v>1451</v>
      </c>
      <c r="C12" s="225">
        <v>7</v>
      </c>
      <c r="D12" s="225" t="s">
        <v>1452</v>
      </c>
      <c r="E12" s="31" t="s">
        <v>1453</v>
      </c>
      <c r="F12" s="29" t="s">
        <v>1454</v>
      </c>
      <c r="G12" s="32"/>
      <c r="H12" s="23"/>
      <c r="I12" s="288">
        <f>'LUIK3 + SCORE'!$J$10</f>
        <v>0</v>
      </c>
    </row>
    <row r="13" spans="1:9" x14ac:dyDescent="0.25">
      <c r="B13" s="1901"/>
      <c r="C13" s="225">
        <v>8</v>
      </c>
      <c r="D13" s="225" t="s">
        <v>1455</v>
      </c>
      <c r="E13" s="31" t="s">
        <v>1456</v>
      </c>
      <c r="F13" s="29" t="s">
        <v>1457</v>
      </c>
      <c r="G13" s="30" t="s">
        <v>1458</v>
      </c>
      <c r="H13" s="23"/>
    </row>
    <row r="14" spans="1:9" ht="31.5" customHeight="1" x14ac:dyDescent="0.25">
      <c r="B14" s="1901"/>
      <c r="C14" s="225">
        <v>9</v>
      </c>
      <c r="D14" s="225" t="s">
        <v>1459</v>
      </c>
      <c r="E14" s="31" t="s">
        <v>1460</v>
      </c>
      <c r="F14" s="29" t="s">
        <v>1461</v>
      </c>
      <c r="G14" s="30" t="s">
        <v>1462</v>
      </c>
      <c r="H14" s="23"/>
    </row>
    <row r="15" spans="1:9" x14ac:dyDescent="0.25">
      <c r="B15" s="1901"/>
      <c r="C15" s="225">
        <v>10</v>
      </c>
      <c r="D15" s="225" t="s">
        <v>1463</v>
      </c>
      <c r="E15" s="31" t="s">
        <v>759</v>
      </c>
      <c r="F15" s="29" t="s">
        <v>1464</v>
      </c>
      <c r="G15" s="27"/>
      <c r="H15" s="23"/>
    </row>
    <row r="16" spans="1:9" x14ac:dyDescent="0.25">
      <c r="B16" s="1901"/>
      <c r="C16" s="225">
        <v>11</v>
      </c>
      <c r="D16" s="225" t="s">
        <v>1465</v>
      </c>
      <c r="E16" s="31" t="s">
        <v>1464</v>
      </c>
      <c r="F16" s="29" t="s">
        <v>759</v>
      </c>
      <c r="G16" s="27"/>
      <c r="H16" s="23"/>
    </row>
    <row r="17" spans="1:9" x14ac:dyDescent="0.25">
      <c r="B17" s="1895"/>
      <c r="C17" s="225">
        <v>12</v>
      </c>
      <c r="D17" s="225" t="s">
        <v>1466</v>
      </c>
      <c r="E17" s="31" t="s">
        <v>1467</v>
      </c>
      <c r="F17" s="29" t="s">
        <v>1468</v>
      </c>
      <c r="G17" s="27"/>
      <c r="H17" s="23"/>
    </row>
    <row r="18" spans="1:9" ht="37.5" x14ac:dyDescent="0.25">
      <c r="B18" s="226" t="s">
        <v>1469</v>
      </c>
      <c r="C18" s="225">
        <v>13</v>
      </c>
      <c r="D18" s="225" t="s">
        <v>1470</v>
      </c>
      <c r="E18" s="31" t="s">
        <v>1779</v>
      </c>
      <c r="F18" s="29" t="s">
        <v>1471</v>
      </c>
      <c r="G18" s="30" t="s">
        <v>1472</v>
      </c>
      <c r="H18" s="23"/>
    </row>
    <row r="19" spans="1:9" x14ac:dyDescent="0.25">
      <c r="B19" s="1894" t="s">
        <v>1473</v>
      </c>
      <c r="C19" s="225">
        <v>14</v>
      </c>
      <c r="D19" s="225" t="s">
        <v>1474</v>
      </c>
      <c r="E19" s="31" t="s">
        <v>759</v>
      </c>
      <c r="F19" s="29" t="s">
        <v>1464</v>
      </c>
      <c r="G19" s="27"/>
      <c r="H19" s="23"/>
    </row>
    <row r="20" spans="1:9" x14ac:dyDescent="0.25">
      <c r="B20" s="1901"/>
      <c r="C20" s="225">
        <v>15</v>
      </c>
      <c r="D20" s="227" t="s">
        <v>1475</v>
      </c>
      <c r="E20" s="31" t="s">
        <v>759</v>
      </c>
      <c r="F20" s="29" t="s">
        <v>1464</v>
      </c>
      <c r="G20" s="27"/>
      <c r="H20" s="23"/>
    </row>
    <row r="21" spans="1:9" x14ac:dyDescent="0.25">
      <c r="B21" s="1901"/>
      <c r="C21" s="225">
        <v>16</v>
      </c>
      <c r="D21" s="227" t="s">
        <v>36</v>
      </c>
      <c r="E21" s="31" t="s">
        <v>759</v>
      </c>
      <c r="F21" s="29" t="s">
        <v>1464</v>
      </c>
      <c r="G21" s="27"/>
      <c r="H21" s="23"/>
    </row>
    <row r="22" spans="1:9" ht="25" x14ac:dyDescent="0.25">
      <c r="B22" s="1901"/>
      <c r="C22" s="225">
        <v>17</v>
      </c>
      <c r="D22" s="227" t="s">
        <v>37</v>
      </c>
      <c r="E22" s="31" t="s">
        <v>759</v>
      </c>
      <c r="F22" s="29" t="s">
        <v>1464</v>
      </c>
      <c r="G22" s="27"/>
      <c r="H22" s="23"/>
    </row>
    <row r="23" spans="1:9" ht="25" x14ac:dyDescent="0.25">
      <c r="B23" s="1901"/>
      <c r="C23" s="225">
        <v>18</v>
      </c>
      <c r="D23" s="227" t="s">
        <v>155</v>
      </c>
      <c r="E23" s="31" t="s">
        <v>759</v>
      </c>
      <c r="F23" s="29" t="s">
        <v>1464</v>
      </c>
      <c r="G23" s="27"/>
      <c r="H23" s="23"/>
    </row>
    <row r="24" spans="1:9" x14ac:dyDescent="0.25">
      <c r="B24" s="1901"/>
      <c r="C24" s="225">
        <v>19</v>
      </c>
      <c r="D24" s="227" t="s">
        <v>39</v>
      </c>
      <c r="E24" s="31" t="s">
        <v>759</v>
      </c>
      <c r="F24" s="29" t="s">
        <v>1464</v>
      </c>
      <c r="G24" s="27"/>
      <c r="H24" s="23"/>
    </row>
    <row r="25" spans="1:9" ht="13" thickBot="1" x14ac:dyDescent="0.3">
      <c r="B25" s="1907"/>
      <c r="C25" s="228">
        <v>20</v>
      </c>
      <c r="D25" s="228" t="s">
        <v>40</v>
      </c>
      <c r="E25" s="33">
        <v>1</v>
      </c>
      <c r="F25" s="34" t="s">
        <v>41</v>
      </c>
      <c r="G25" s="35"/>
      <c r="H25" s="23"/>
    </row>
    <row r="26" spans="1:9" ht="13" thickBot="1" x14ac:dyDescent="0.3"/>
    <row r="27" spans="1:9" ht="14.5" thickBot="1" x14ac:dyDescent="0.35">
      <c r="A27" s="1897" t="s">
        <v>56</v>
      </c>
      <c r="B27" s="1898"/>
      <c r="C27" s="1898"/>
      <c r="D27" s="1898"/>
      <c r="E27" s="1898"/>
      <c r="F27" s="1898"/>
      <c r="G27" s="1898"/>
      <c r="H27" s="1898"/>
      <c r="I27" s="1898"/>
    </row>
    <row r="29" spans="1:9" ht="13" x14ac:dyDescent="0.25">
      <c r="B29" s="186" t="s">
        <v>1511</v>
      </c>
      <c r="C29" s="36" t="s">
        <v>1512</v>
      </c>
      <c r="D29" s="1908" t="s">
        <v>42</v>
      </c>
      <c r="E29" s="1908"/>
      <c r="F29" s="36" t="s">
        <v>43</v>
      </c>
      <c r="G29" s="36" t="s">
        <v>46</v>
      </c>
    </row>
    <row r="30" spans="1:9" x14ac:dyDescent="0.25">
      <c r="B30" s="1909" t="s">
        <v>47</v>
      </c>
      <c r="C30" s="229">
        <v>21</v>
      </c>
      <c r="D30" s="230" t="s">
        <v>767</v>
      </c>
      <c r="E30" s="230" t="s">
        <v>48</v>
      </c>
      <c r="F30" s="39"/>
      <c r="G30" s="40"/>
    </row>
    <row r="31" spans="1:9" x14ac:dyDescent="0.25">
      <c r="B31" s="1910"/>
      <c r="C31" s="229"/>
      <c r="D31" s="231" t="s">
        <v>2217</v>
      </c>
      <c r="E31" s="231" t="s">
        <v>49</v>
      </c>
      <c r="F31" s="41"/>
      <c r="G31" s="40"/>
    </row>
    <row r="32" spans="1:9" ht="25" x14ac:dyDescent="0.25">
      <c r="B32" s="1910"/>
      <c r="C32" s="229"/>
      <c r="D32" s="231" t="s">
        <v>2219</v>
      </c>
      <c r="E32" s="231" t="s">
        <v>50</v>
      </c>
      <c r="F32" s="41"/>
      <c r="G32" s="40"/>
    </row>
    <row r="33" spans="1:40" x14ac:dyDescent="0.25">
      <c r="B33" s="1910"/>
      <c r="C33" s="229"/>
      <c r="D33" s="231" t="s">
        <v>2221</v>
      </c>
      <c r="E33" s="231" t="s">
        <v>51</v>
      </c>
      <c r="F33" s="41"/>
      <c r="G33" s="40"/>
    </row>
    <row r="34" spans="1:40" ht="25" x14ac:dyDescent="0.25">
      <c r="B34" s="1910"/>
      <c r="C34" s="229"/>
      <c r="D34" s="231" t="s">
        <v>2222</v>
      </c>
      <c r="E34" s="231" t="s">
        <v>52</v>
      </c>
      <c r="F34" s="41"/>
      <c r="G34" s="40"/>
    </row>
    <row r="35" spans="1:40" ht="25" x14ac:dyDescent="0.25">
      <c r="B35" s="1910"/>
      <c r="C35" s="229"/>
      <c r="D35" s="232" t="s">
        <v>2223</v>
      </c>
      <c r="E35" s="232" t="s">
        <v>53</v>
      </c>
      <c r="F35" s="43"/>
      <c r="G35" s="40"/>
    </row>
    <row r="36" spans="1:40" ht="25" x14ac:dyDescent="0.25">
      <c r="B36" s="233"/>
      <c r="C36" s="229"/>
      <c r="D36" s="232" t="s">
        <v>2224</v>
      </c>
      <c r="E36" s="234" t="s">
        <v>2290</v>
      </c>
      <c r="F36" s="41"/>
      <c r="G36" s="40"/>
    </row>
    <row r="37" spans="1:40" ht="13" x14ac:dyDescent="0.25">
      <c r="B37" s="1902" t="s">
        <v>54</v>
      </c>
      <c r="C37" s="1903"/>
      <c r="D37" s="231" t="s">
        <v>1903</v>
      </c>
      <c r="E37" s="235"/>
      <c r="F37" s="236"/>
      <c r="G37" s="44" t="s">
        <v>2291</v>
      </c>
    </row>
    <row r="38" spans="1:40" ht="13" thickBot="1" x14ac:dyDescent="0.3"/>
    <row r="39" spans="1:40" ht="14.5" thickBot="1" x14ac:dyDescent="0.35">
      <c r="A39" s="1897" t="s">
        <v>57</v>
      </c>
      <c r="B39" s="1898"/>
      <c r="C39" s="1898"/>
      <c r="D39" s="1898"/>
      <c r="E39" s="1898"/>
      <c r="F39" s="1898"/>
      <c r="G39" s="1898"/>
      <c r="H39" s="1898"/>
      <c r="I39" s="1898"/>
    </row>
    <row r="40" spans="1:40" ht="13" thickBot="1" x14ac:dyDescent="0.3">
      <c r="AN40">
        <f>11/6.3</f>
        <v>1.746031746031746</v>
      </c>
    </row>
    <row r="41" spans="1:40" ht="13.5" thickBot="1" x14ac:dyDescent="0.3">
      <c r="B41" s="45" t="s">
        <v>1511</v>
      </c>
      <c r="C41" s="46" t="s">
        <v>1512</v>
      </c>
      <c r="D41" s="46" t="s">
        <v>1692</v>
      </c>
      <c r="E41" s="1904" t="s">
        <v>1771</v>
      </c>
      <c r="F41" s="1905"/>
      <c r="G41" s="1905"/>
      <c r="H41" s="1905"/>
      <c r="I41" s="1906"/>
      <c r="P41" s="434"/>
      <c r="Q41" s="434"/>
      <c r="R41" s="434"/>
      <c r="S41" s="434"/>
      <c r="T41" s="434"/>
      <c r="U41" s="434"/>
      <c r="V41" s="434"/>
      <c r="W41" s="434"/>
      <c r="X41" s="434"/>
      <c r="Y41" s="434"/>
      <c r="Z41" s="434"/>
      <c r="AA41" s="434"/>
      <c r="AB41" s="434"/>
      <c r="AC41" s="434"/>
      <c r="AD41" s="434"/>
      <c r="AE41" s="434"/>
      <c r="AF41" s="434"/>
      <c r="AG41" s="434"/>
      <c r="AH41" s="434"/>
      <c r="AI41" s="434"/>
      <c r="AJ41" s="434"/>
      <c r="AK41" s="434"/>
      <c r="AL41" s="434"/>
    </row>
    <row r="42" spans="1:40" ht="38" thickBot="1" x14ac:dyDescent="0.35">
      <c r="B42" s="237" t="s">
        <v>58</v>
      </c>
      <c r="C42" s="230">
        <v>22</v>
      </c>
      <c r="D42" s="230" t="s">
        <v>59</v>
      </c>
      <c r="E42" s="47" t="s">
        <v>60</v>
      </c>
      <c r="F42" s="48" t="s">
        <v>61</v>
      </c>
      <c r="G42" s="49" t="s">
        <v>62</v>
      </c>
      <c r="H42" s="50" t="s">
        <v>1826</v>
      </c>
      <c r="I42" s="51"/>
      <c r="K42" s="435">
        <f>AN42</f>
        <v>8.3333333333333321</v>
      </c>
      <c r="P42" s="434"/>
      <c r="Q42" s="446">
        <v>0</v>
      </c>
      <c r="R42" s="447">
        <v>1</v>
      </c>
      <c r="S42" s="447">
        <v>2</v>
      </c>
      <c r="T42" s="449"/>
      <c r="U42" s="447">
        <v>4</v>
      </c>
      <c r="V42" s="449"/>
      <c r="W42" s="449"/>
      <c r="X42" s="449"/>
      <c r="Y42" s="449"/>
      <c r="Z42" s="449"/>
      <c r="AA42" s="449"/>
      <c r="AB42" s="449">
        <v>11</v>
      </c>
      <c r="AC42" s="449"/>
      <c r="AD42" s="449"/>
      <c r="AE42" s="464">
        <v>0</v>
      </c>
      <c r="AF42" s="464">
        <v>1</v>
      </c>
      <c r="AG42" s="464">
        <v>2</v>
      </c>
      <c r="AH42" s="464">
        <v>4</v>
      </c>
      <c r="AI42" s="449"/>
      <c r="AJ42" s="449"/>
      <c r="AK42" s="450"/>
      <c r="AL42" s="434"/>
      <c r="AN42">
        <f>4/$AN$55*100</f>
        <v>8.3333333333333321</v>
      </c>
    </row>
    <row r="43" spans="1:40" ht="25" x14ac:dyDescent="0.3">
      <c r="B43" s="238" t="s">
        <v>1827</v>
      </c>
      <c r="C43" s="231">
        <v>23</v>
      </c>
      <c r="D43" s="231" t="s">
        <v>1828</v>
      </c>
      <c r="E43" s="18" t="s">
        <v>759</v>
      </c>
      <c r="F43" s="53" t="s">
        <v>1909</v>
      </c>
      <c r="G43" s="54" t="s">
        <v>1910</v>
      </c>
      <c r="H43" s="55" t="s">
        <v>1911</v>
      </c>
      <c r="I43" s="51"/>
      <c r="K43" s="435">
        <f>AN43</f>
        <v>4.1666666666666661</v>
      </c>
      <c r="L43">
        <v>5</v>
      </c>
      <c r="M43">
        <f>63*L43/100</f>
        <v>3.15</v>
      </c>
      <c r="N43" s="465">
        <f>M43*$AN$40</f>
        <v>5.5</v>
      </c>
      <c r="P43" s="434"/>
      <c r="Q43" s="433">
        <v>0</v>
      </c>
      <c r="R43" s="433">
        <v>1</v>
      </c>
      <c r="S43" s="433">
        <v>2</v>
      </c>
      <c r="T43" s="178"/>
      <c r="U43" s="178"/>
      <c r="V43" s="178"/>
      <c r="W43" s="178"/>
      <c r="X43" s="178"/>
      <c r="Y43" s="178"/>
      <c r="Z43" s="178"/>
      <c r="AA43" s="178"/>
      <c r="AB43" s="178"/>
      <c r="AC43" s="178"/>
      <c r="AD43" s="178"/>
      <c r="AE43" s="457">
        <v>0</v>
      </c>
      <c r="AF43" s="457">
        <v>4</v>
      </c>
      <c r="AG43" s="457">
        <v>6</v>
      </c>
      <c r="AH43" s="178"/>
      <c r="AI43" s="178"/>
      <c r="AJ43" s="178"/>
      <c r="AK43" s="178"/>
      <c r="AL43" s="434"/>
      <c r="AN43">
        <f>2/$AN$55*100</f>
        <v>4.1666666666666661</v>
      </c>
    </row>
    <row r="44" spans="1:40" ht="25.5" thickBot="1" x14ac:dyDescent="0.35">
      <c r="B44" s="238" t="s">
        <v>1912</v>
      </c>
      <c r="C44" s="231">
        <v>24</v>
      </c>
      <c r="D44" s="231" t="s">
        <v>1913</v>
      </c>
      <c r="E44" s="18" t="s">
        <v>759</v>
      </c>
      <c r="F44" s="53" t="s">
        <v>1914</v>
      </c>
      <c r="G44" s="54" t="s">
        <v>1910</v>
      </c>
      <c r="H44" s="55" t="s">
        <v>1911</v>
      </c>
      <c r="I44" s="51"/>
      <c r="K44" s="435">
        <f>AN44</f>
        <v>8.3333333333333321</v>
      </c>
      <c r="L44">
        <v>15</v>
      </c>
      <c r="M44">
        <f>63*L44/100</f>
        <v>9.4499999999999993</v>
      </c>
      <c r="N44" s="465">
        <f>M44*$AN$40</f>
        <v>16.5</v>
      </c>
      <c r="P44" s="434"/>
      <c r="Q44" s="433">
        <v>0</v>
      </c>
      <c r="R44" s="178"/>
      <c r="S44" s="433">
        <v>2</v>
      </c>
      <c r="T44" s="178"/>
      <c r="U44" s="433">
        <v>4</v>
      </c>
      <c r="V44" s="178"/>
      <c r="W44" s="178"/>
      <c r="X44" s="178"/>
      <c r="Y44" s="178"/>
      <c r="Z44" s="178"/>
      <c r="AA44" s="178"/>
      <c r="AB44" s="178"/>
      <c r="AC44" s="178"/>
      <c r="AD44" s="178"/>
      <c r="AE44" s="457">
        <v>0</v>
      </c>
      <c r="AF44" s="457">
        <v>10</v>
      </c>
      <c r="AG44" s="457">
        <v>17</v>
      </c>
      <c r="AH44" s="178"/>
      <c r="AI44" s="178"/>
      <c r="AJ44" s="178"/>
      <c r="AK44" s="178"/>
      <c r="AL44" s="434"/>
      <c r="AN44">
        <f>4/$AN$55*100</f>
        <v>8.3333333333333321</v>
      </c>
    </row>
    <row r="45" spans="1:40" ht="25" x14ac:dyDescent="0.3">
      <c r="B45" s="239" t="s">
        <v>1915</v>
      </c>
      <c r="C45" s="231">
        <v>25</v>
      </c>
      <c r="D45" s="231" t="s">
        <v>1916</v>
      </c>
      <c r="E45" s="18" t="s">
        <v>1917</v>
      </c>
      <c r="F45" s="53" t="s">
        <v>226</v>
      </c>
      <c r="G45" s="56"/>
      <c r="H45" s="56"/>
      <c r="I45" s="51"/>
      <c r="K45" s="435">
        <f>SUM(AN45:AN48)</f>
        <v>14.583333333333332</v>
      </c>
      <c r="L45">
        <v>10</v>
      </c>
      <c r="M45">
        <f>63*L45/100</f>
        <v>6.3</v>
      </c>
      <c r="N45" s="465">
        <f>M45*$AN$40</f>
        <v>11</v>
      </c>
      <c r="P45" s="434"/>
      <c r="Q45" s="448">
        <v>0</v>
      </c>
      <c r="R45" s="439"/>
      <c r="S45" s="440">
        <v>2</v>
      </c>
      <c r="T45" s="451"/>
      <c r="U45" s="451"/>
      <c r="V45" s="451"/>
      <c r="W45" s="451"/>
      <c r="X45" s="451"/>
      <c r="Y45" s="451"/>
      <c r="Z45" s="451"/>
      <c r="AA45" s="451"/>
      <c r="AB45" s="451"/>
      <c r="AC45" s="451"/>
      <c r="AD45" s="451"/>
      <c r="AE45" s="460">
        <v>0</v>
      </c>
      <c r="AF45" s="460">
        <v>2</v>
      </c>
      <c r="AG45" s="460"/>
      <c r="AH45" s="460"/>
      <c r="AI45" s="451"/>
      <c r="AJ45" s="451"/>
      <c r="AK45" s="452"/>
      <c r="AL45" s="434"/>
      <c r="AN45">
        <f>2/$AN$55*100</f>
        <v>4.1666666666666661</v>
      </c>
    </row>
    <row r="46" spans="1:40" ht="37.5" x14ac:dyDescent="0.3">
      <c r="B46" s="240"/>
      <c r="C46" s="231">
        <v>26</v>
      </c>
      <c r="D46" s="231" t="s">
        <v>227</v>
      </c>
      <c r="E46" s="18" t="s">
        <v>759</v>
      </c>
      <c r="F46" s="53" t="s">
        <v>228</v>
      </c>
      <c r="G46" s="54" t="s">
        <v>229</v>
      </c>
      <c r="H46" s="57"/>
      <c r="I46" s="51"/>
      <c r="K46" s="435"/>
      <c r="N46" s="465"/>
      <c r="P46" s="434"/>
      <c r="Q46" s="441">
        <v>0</v>
      </c>
      <c r="R46" s="442">
        <v>1</v>
      </c>
      <c r="S46" s="442">
        <v>2</v>
      </c>
      <c r="T46" s="453"/>
      <c r="U46" s="453"/>
      <c r="V46" s="453"/>
      <c r="W46" s="453"/>
      <c r="X46" s="453"/>
      <c r="Y46" s="453"/>
      <c r="Z46" s="453"/>
      <c r="AA46" s="453"/>
      <c r="AB46" s="453"/>
      <c r="AC46" s="453"/>
      <c r="AD46" s="453"/>
      <c r="AE46" s="461">
        <v>0</v>
      </c>
      <c r="AF46" s="461">
        <v>1</v>
      </c>
      <c r="AG46" s="461">
        <v>2</v>
      </c>
      <c r="AH46" s="461"/>
      <c r="AI46" s="453"/>
      <c r="AJ46" s="453"/>
      <c r="AK46" s="454"/>
      <c r="AL46" s="434"/>
      <c r="AN46">
        <f>2/$AN$55*100</f>
        <v>4.1666666666666661</v>
      </c>
    </row>
    <row r="47" spans="1:40" ht="13" x14ac:dyDescent="0.3">
      <c r="B47" s="240"/>
      <c r="C47" s="231">
        <v>27</v>
      </c>
      <c r="D47" s="231" t="s">
        <v>230</v>
      </c>
      <c r="E47" s="18" t="s">
        <v>759</v>
      </c>
      <c r="F47" s="53" t="s">
        <v>231</v>
      </c>
      <c r="G47" s="54" t="s">
        <v>232</v>
      </c>
      <c r="H47" s="57"/>
      <c r="I47" s="51"/>
      <c r="K47" s="435"/>
      <c r="N47" s="465"/>
      <c r="P47" s="434"/>
      <c r="Q47" s="441">
        <v>0</v>
      </c>
      <c r="R47" s="442">
        <v>1</v>
      </c>
      <c r="S47" s="442">
        <v>2</v>
      </c>
      <c r="T47" s="453"/>
      <c r="U47" s="453"/>
      <c r="V47" s="453"/>
      <c r="W47" s="453"/>
      <c r="X47" s="453"/>
      <c r="Y47" s="453"/>
      <c r="Z47" s="453"/>
      <c r="AA47" s="453"/>
      <c r="AB47" s="453"/>
      <c r="AC47" s="453"/>
      <c r="AD47" s="453"/>
      <c r="AE47" s="461">
        <v>0</v>
      </c>
      <c r="AF47" s="461">
        <v>1</v>
      </c>
      <c r="AG47" s="461">
        <v>2</v>
      </c>
      <c r="AH47" s="461"/>
      <c r="AI47" s="453"/>
      <c r="AJ47" s="453"/>
      <c r="AK47" s="454"/>
      <c r="AL47" s="434"/>
      <c r="AN47">
        <f>2/$AN$55*100</f>
        <v>4.1666666666666661</v>
      </c>
    </row>
    <row r="48" spans="1:40" ht="13.5" thickBot="1" x14ac:dyDescent="0.35">
      <c r="B48" s="241"/>
      <c r="C48" s="242">
        <v>28</v>
      </c>
      <c r="D48" s="242" t="s">
        <v>233</v>
      </c>
      <c r="E48" s="20" t="s">
        <v>759</v>
      </c>
      <c r="F48" s="58" t="s">
        <v>1464</v>
      </c>
      <c r="G48" s="59"/>
      <c r="H48" s="59"/>
      <c r="I48" s="60"/>
      <c r="K48" s="435"/>
      <c r="N48" s="465"/>
      <c r="P48" s="434"/>
      <c r="Q48" s="443">
        <v>0</v>
      </c>
      <c r="R48" s="444">
        <v>1</v>
      </c>
      <c r="S48" s="455"/>
      <c r="T48" s="455"/>
      <c r="U48" s="455"/>
      <c r="V48" s="455"/>
      <c r="W48" s="455"/>
      <c r="X48" s="455"/>
      <c r="Y48" s="455"/>
      <c r="Z48" s="455"/>
      <c r="AA48" s="455"/>
      <c r="AB48" s="455"/>
      <c r="AC48" s="455"/>
      <c r="AD48" s="455"/>
      <c r="AE48" s="462">
        <v>0</v>
      </c>
      <c r="AF48" s="462">
        <v>1</v>
      </c>
      <c r="AG48" s="462"/>
      <c r="AH48" s="462"/>
      <c r="AI48" s="455"/>
      <c r="AJ48" s="455"/>
      <c r="AK48" s="456"/>
      <c r="AL48" s="434"/>
      <c r="AN48">
        <f>1/$AN$55*100</f>
        <v>2.083333333333333</v>
      </c>
    </row>
    <row r="49" spans="1:41" ht="153" customHeight="1" x14ac:dyDescent="0.3">
      <c r="B49" s="243" t="s">
        <v>234</v>
      </c>
      <c r="C49" s="244">
        <v>29</v>
      </c>
      <c r="D49" s="244" t="s">
        <v>235</v>
      </c>
      <c r="E49" s="17" t="s">
        <v>439</v>
      </c>
      <c r="F49" s="61" t="s">
        <v>440</v>
      </c>
      <c r="G49" s="62" t="s">
        <v>441</v>
      </c>
      <c r="H49" s="63" t="s">
        <v>442</v>
      </c>
      <c r="I49" s="276" t="s">
        <v>1691</v>
      </c>
      <c r="K49" s="435">
        <f>SUM(AN49:AN52)</f>
        <v>52.083333333333336</v>
      </c>
      <c r="L49">
        <v>40</v>
      </c>
      <c r="M49">
        <f>25/0.4</f>
        <v>62.5</v>
      </c>
      <c r="N49" s="465">
        <f>M49*$AN$40</f>
        <v>109.12698412698413</v>
      </c>
      <c r="P49" s="434"/>
      <c r="Q49" s="438"/>
      <c r="R49" s="439"/>
      <c r="S49" s="439"/>
      <c r="T49" s="439"/>
      <c r="U49" s="440">
        <v>4</v>
      </c>
      <c r="V49" s="439">
        <v>5</v>
      </c>
      <c r="W49" s="439"/>
      <c r="X49" s="439"/>
      <c r="Y49" s="440">
        <v>8</v>
      </c>
      <c r="Z49" s="439">
        <v>11</v>
      </c>
      <c r="AA49" s="439"/>
      <c r="AB49" s="439"/>
      <c r="AC49" s="440">
        <v>12</v>
      </c>
      <c r="AD49" s="439">
        <v>18</v>
      </c>
      <c r="AE49" s="439"/>
      <c r="AF49" s="439">
        <v>25</v>
      </c>
      <c r="AG49" s="440">
        <v>16</v>
      </c>
      <c r="AH49" s="439"/>
      <c r="AI49" s="439"/>
      <c r="AJ49" s="439">
        <v>34</v>
      </c>
      <c r="AK49" s="304">
        <v>20</v>
      </c>
      <c r="AL49" s="434"/>
      <c r="AN49">
        <f>20/$AN$55*100</f>
        <v>41.666666666666671</v>
      </c>
    </row>
    <row r="50" spans="1:41" ht="13.5" thickBot="1" x14ac:dyDescent="0.35">
      <c r="B50" s="245"/>
      <c r="C50" s="246">
        <v>30</v>
      </c>
      <c r="D50" s="246" t="s">
        <v>765</v>
      </c>
      <c r="E50" s="65" t="s">
        <v>236</v>
      </c>
      <c r="F50" s="66" t="s">
        <v>237</v>
      </c>
      <c r="G50" s="67" t="s">
        <v>238</v>
      </c>
      <c r="H50" s="68" t="s">
        <v>239</v>
      </c>
      <c r="I50" s="51"/>
      <c r="K50" s="435"/>
      <c r="N50" s="465">
        <f>109-(N43+N44+N45+N53)</f>
        <v>43</v>
      </c>
      <c r="P50" s="434"/>
      <c r="Q50" s="441">
        <v>0</v>
      </c>
      <c r="R50" s="442">
        <v>1</v>
      </c>
      <c r="S50" s="442">
        <v>2</v>
      </c>
      <c r="T50" s="442">
        <v>3</v>
      </c>
      <c r="U50" s="293"/>
      <c r="V50" s="293"/>
      <c r="W50" s="293">
        <v>4</v>
      </c>
      <c r="X50" s="293"/>
      <c r="Y50" s="293"/>
      <c r="Z50" s="293"/>
      <c r="AA50" s="293"/>
      <c r="AB50" s="293"/>
      <c r="AC50" s="293"/>
      <c r="AD50" s="293"/>
      <c r="AE50" s="458">
        <v>0</v>
      </c>
      <c r="AF50" s="458">
        <v>2</v>
      </c>
      <c r="AG50" s="458">
        <v>4</v>
      </c>
      <c r="AH50" s="458">
        <v>6</v>
      </c>
      <c r="AI50" s="458"/>
      <c r="AJ50" s="293"/>
      <c r="AK50" s="295"/>
      <c r="AL50" s="434"/>
      <c r="AN50">
        <f>3/$AN$55*100</f>
        <v>6.25</v>
      </c>
    </row>
    <row r="51" spans="1:41" ht="13.5" thickBot="1" x14ac:dyDescent="0.35">
      <c r="B51" s="245"/>
      <c r="C51" s="247">
        <v>31</v>
      </c>
      <c r="D51" s="248" t="s">
        <v>240</v>
      </c>
      <c r="E51" s="70"/>
      <c r="F51" s="71" t="s">
        <v>1308</v>
      </c>
      <c r="G51" s="80"/>
      <c r="H51" s="71"/>
      <c r="I51" s="51"/>
      <c r="K51" s="435"/>
      <c r="N51" s="465"/>
      <c r="P51" s="434"/>
      <c r="Q51" s="294"/>
      <c r="R51" s="293"/>
      <c r="S51" s="293"/>
      <c r="T51" s="293"/>
      <c r="U51" s="293"/>
      <c r="V51" s="293"/>
      <c r="W51" s="293"/>
      <c r="X51" s="293"/>
      <c r="Y51" s="293"/>
      <c r="Z51" s="293"/>
      <c r="AA51" s="293"/>
      <c r="AB51" s="293"/>
      <c r="AC51" s="293"/>
      <c r="AD51" s="293"/>
      <c r="AE51" s="458">
        <v>5</v>
      </c>
      <c r="AF51" s="458">
        <v>10</v>
      </c>
      <c r="AG51" s="458">
        <v>17</v>
      </c>
      <c r="AH51" s="458">
        <v>24</v>
      </c>
      <c r="AI51" s="458">
        <v>32</v>
      </c>
      <c r="AJ51" s="293"/>
      <c r="AK51" s="295"/>
      <c r="AL51" s="434"/>
    </row>
    <row r="52" spans="1:41" ht="13.5" thickBot="1" x14ac:dyDescent="0.35">
      <c r="B52" s="249"/>
      <c r="C52" s="250">
        <v>32</v>
      </c>
      <c r="D52" s="250" t="s">
        <v>241</v>
      </c>
      <c r="E52" s="72" t="s">
        <v>242</v>
      </c>
      <c r="F52" s="73" t="s">
        <v>243</v>
      </c>
      <c r="G52" s="74"/>
      <c r="H52" s="74"/>
      <c r="I52" s="60"/>
      <c r="K52" s="435"/>
      <c r="N52" s="465"/>
      <c r="P52" s="434"/>
      <c r="Q52" s="443">
        <v>0</v>
      </c>
      <c r="R52" s="296"/>
      <c r="S52" s="444">
        <v>2</v>
      </c>
      <c r="T52" s="296"/>
      <c r="U52" s="296"/>
      <c r="V52" s="296"/>
      <c r="W52" s="296"/>
      <c r="X52" s="296"/>
      <c r="Y52" s="296"/>
      <c r="Z52" s="296"/>
      <c r="AA52" s="296"/>
      <c r="AB52" s="296"/>
      <c r="AC52" s="296"/>
      <c r="AD52" s="296"/>
      <c r="AE52" s="459">
        <v>0</v>
      </c>
      <c r="AF52" s="459">
        <v>4</v>
      </c>
      <c r="AG52" s="459"/>
      <c r="AH52" s="459"/>
      <c r="AI52" s="459"/>
      <c r="AJ52" s="296"/>
      <c r="AK52" s="445"/>
      <c r="AL52" s="434"/>
      <c r="AN52">
        <f>2/$AN$55*100</f>
        <v>4.1666666666666661</v>
      </c>
    </row>
    <row r="53" spans="1:41" ht="38" thickBot="1" x14ac:dyDescent="0.35">
      <c r="B53" s="251" t="s">
        <v>244</v>
      </c>
      <c r="C53" s="252">
        <v>33</v>
      </c>
      <c r="D53" s="252" t="s">
        <v>1303</v>
      </c>
      <c r="E53" s="75" t="s">
        <v>1304</v>
      </c>
      <c r="F53" s="76" t="s">
        <v>1305</v>
      </c>
      <c r="G53" s="77" t="s">
        <v>1306</v>
      </c>
      <c r="H53" s="78" t="s">
        <v>1307</v>
      </c>
      <c r="I53" s="79"/>
      <c r="K53" s="435">
        <f>AN53</f>
        <v>12.5</v>
      </c>
      <c r="L53">
        <v>30</v>
      </c>
      <c r="M53">
        <f>63*L53/100</f>
        <v>18.899999999999999</v>
      </c>
      <c r="N53" s="465">
        <f>M53*$AN$40</f>
        <v>33</v>
      </c>
      <c r="P53" s="434"/>
      <c r="Q53" s="433">
        <v>0</v>
      </c>
      <c r="R53" s="178"/>
      <c r="S53" s="433">
        <v>2</v>
      </c>
      <c r="T53" s="178"/>
      <c r="U53" s="433">
        <v>4</v>
      </c>
      <c r="V53" s="178"/>
      <c r="W53" s="433">
        <v>6</v>
      </c>
      <c r="X53" s="178"/>
      <c r="Y53" s="178"/>
      <c r="Z53" s="178"/>
      <c r="AA53" s="178"/>
      <c r="AB53" s="178"/>
      <c r="AC53" s="178"/>
      <c r="AD53" s="178"/>
      <c r="AE53" s="457">
        <v>0</v>
      </c>
      <c r="AF53" s="457">
        <v>7</v>
      </c>
      <c r="AG53" s="457">
        <v>15</v>
      </c>
      <c r="AH53" s="457">
        <v>33</v>
      </c>
      <c r="AI53" s="178"/>
      <c r="AJ53" s="178"/>
      <c r="AK53" s="178"/>
      <c r="AL53" s="434"/>
      <c r="AN53">
        <f>6/$AN$55*100</f>
        <v>12.5</v>
      </c>
    </row>
    <row r="54" spans="1:41" ht="13" thickBot="1" x14ac:dyDescent="0.3">
      <c r="P54" s="434"/>
      <c r="Q54" s="434"/>
      <c r="R54" s="434"/>
      <c r="S54" s="434"/>
      <c r="T54" s="434"/>
      <c r="U54" s="434"/>
      <c r="V54" s="434"/>
      <c r="W54" s="434"/>
      <c r="X54" s="434"/>
      <c r="Y54" s="434"/>
      <c r="Z54" s="434"/>
      <c r="AA54" s="434"/>
      <c r="AB54" s="434"/>
      <c r="AC54" s="434"/>
      <c r="AD54" s="434"/>
      <c r="AE54" s="434"/>
      <c r="AF54" s="434"/>
      <c r="AG54" s="434"/>
      <c r="AH54" s="434"/>
      <c r="AI54" s="434"/>
      <c r="AJ54" s="434"/>
      <c r="AK54" s="434"/>
      <c r="AL54" s="434"/>
    </row>
    <row r="55" spans="1:41" ht="14.5" thickBot="1" x14ac:dyDescent="0.35">
      <c r="A55" s="1897" t="s">
        <v>1267</v>
      </c>
      <c r="B55" s="1898"/>
      <c r="C55" s="1898"/>
      <c r="D55" s="1898"/>
      <c r="E55" s="1898"/>
      <c r="F55" s="1898"/>
      <c r="G55" s="1898"/>
      <c r="H55" s="1898"/>
      <c r="I55" s="1898"/>
      <c r="AH55">
        <f>AH53+AF52+AI51+AH50+AF48+AG47+AG46+AF45+AG44+AG43+AH42</f>
        <v>109</v>
      </c>
      <c r="AN55">
        <f>U42+S43+U44+S45+S46+S47+R48+AK49+T50+S52+W53</f>
        <v>48</v>
      </c>
      <c r="AO55">
        <f>SUM(AN42:AN53)</f>
        <v>100</v>
      </c>
    </row>
    <row r="56" spans="1:41" ht="13" thickBot="1" x14ac:dyDescent="0.3"/>
    <row r="57" spans="1:41" ht="13" x14ac:dyDescent="0.25">
      <c r="B57" s="1" t="s">
        <v>1511</v>
      </c>
      <c r="C57" s="81" t="s">
        <v>1512</v>
      </c>
      <c r="D57" s="81" t="s">
        <v>1692</v>
      </c>
      <c r="E57" s="1915" t="s">
        <v>1771</v>
      </c>
      <c r="F57" s="1916"/>
      <c r="G57" s="1917"/>
      <c r="H57" s="82"/>
    </row>
    <row r="58" spans="1:41" ht="25" x14ac:dyDescent="0.25">
      <c r="B58" s="253" t="s">
        <v>1268</v>
      </c>
      <c r="C58" s="246">
        <v>34</v>
      </c>
      <c r="D58" s="231" t="s">
        <v>1269</v>
      </c>
      <c r="E58" s="18" t="s">
        <v>1270</v>
      </c>
      <c r="F58" s="53" t="s">
        <v>1271</v>
      </c>
      <c r="G58" s="83" t="s">
        <v>1272</v>
      </c>
      <c r="H58" s="84"/>
    </row>
    <row r="59" spans="1:41" ht="13" thickBot="1" x14ac:dyDescent="0.3">
      <c r="B59" s="254"/>
      <c r="C59" s="250">
        <v>35</v>
      </c>
      <c r="D59" s="242" t="s">
        <v>1273</v>
      </c>
      <c r="E59" s="20" t="s">
        <v>1515</v>
      </c>
      <c r="F59" s="58" t="s">
        <v>1502</v>
      </c>
      <c r="G59" s="85"/>
      <c r="H59" s="84"/>
    </row>
    <row r="60" spans="1:41" ht="13" thickBot="1" x14ac:dyDescent="0.3">
      <c r="B60" s="10"/>
      <c r="C60" s="37"/>
      <c r="D60" s="10"/>
      <c r="E60" s="10"/>
      <c r="F60" s="10"/>
      <c r="G60" s="10"/>
      <c r="H60" s="84"/>
    </row>
    <row r="61" spans="1:41" ht="25.5" thickBot="1" x14ac:dyDescent="0.3">
      <c r="B61" s="251" t="s">
        <v>1274</v>
      </c>
      <c r="C61" s="252">
        <v>36</v>
      </c>
      <c r="D61" s="255" t="s">
        <v>1275</v>
      </c>
      <c r="E61" s="86" t="s">
        <v>1502</v>
      </c>
      <c r="F61" s="76" t="s">
        <v>1276</v>
      </c>
      <c r="G61" s="87"/>
      <c r="H61" s="84"/>
    </row>
    <row r="62" spans="1:41" ht="13" thickBot="1" x14ac:dyDescent="0.3">
      <c r="B62" s="10"/>
      <c r="C62" s="37"/>
      <c r="D62" s="10"/>
      <c r="E62" s="10"/>
      <c r="F62" s="10"/>
      <c r="G62" s="10"/>
      <c r="H62" s="84"/>
    </row>
    <row r="63" spans="1:41" ht="30.75" customHeight="1" x14ac:dyDescent="0.25">
      <c r="B63" s="256" t="s">
        <v>1277</v>
      </c>
      <c r="C63" s="244">
        <v>37</v>
      </c>
      <c r="D63" s="257" t="s">
        <v>1278</v>
      </c>
      <c r="E63" s="17" t="s">
        <v>1546</v>
      </c>
      <c r="F63" s="61" t="s">
        <v>1547</v>
      </c>
      <c r="G63" s="88" t="s">
        <v>1548</v>
      </c>
      <c r="H63" s="84"/>
    </row>
    <row r="64" spans="1:41" ht="25" x14ac:dyDescent="0.25">
      <c r="B64" s="245"/>
      <c r="C64" s="246">
        <v>38</v>
      </c>
      <c r="D64" s="231" t="s">
        <v>1549</v>
      </c>
      <c r="E64" s="18" t="s">
        <v>1550</v>
      </c>
      <c r="F64" s="89" t="s">
        <v>1551</v>
      </c>
      <c r="G64" s="90"/>
      <c r="H64" s="84"/>
    </row>
    <row r="65" spans="1:9" x14ac:dyDescent="0.25">
      <c r="B65" s="245"/>
      <c r="C65" s="246">
        <v>39</v>
      </c>
      <c r="D65" s="231" t="s">
        <v>1552</v>
      </c>
      <c r="E65" s="18" t="s">
        <v>1502</v>
      </c>
      <c r="F65" s="89" t="s">
        <v>1515</v>
      </c>
      <c r="G65" s="91"/>
      <c r="H65" s="84"/>
    </row>
    <row r="66" spans="1:9" ht="25" x14ac:dyDescent="0.25">
      <c r="B66" s="245"/>
      <c r="C66" s="246">
        <v>40</v>
      </c>
      <c r="D66" s="231" t="s">
        <v>1553</v>
      </c>
      <c r="E66" s="18" t="s">
        <v>1502</v>
      </c>
      <c r="F66" s="89" t="s">
        <v>1515</v>
      </c>
      <c r="G66" s="92"/>
      <c r="H66" s="84"/>
    </row>
    <row r="67" spans="1:9" ht="25" x14ac:dyDescent="0.25">
      <c r="B67" s="245"/>
      <c r="C67" s="246">
        <v>41</v>
      </c>
      <c r="D67" s="231" t="s">
        <v>1554</v>
      </c>
      <c r="E67" s="18" t="s">
        <v>1555</v>
      </c>
      <c r="F67" s="53" t="s">
        <v>1556</v>
      </c>
      <c r="G67" s="93" t="s">
        <v>1502</v>
      </c>
      <c r="H67" s="84"/>
    </row>
    <row r="68" spans="1:9" x14ac:dyDescent="0.25">
      <c r="B68" s="245"/>
      <c r="C68" s="246">
        <v>42</v>
      </c>
      <c r="D68" s="231" t="s">
        <v>1557</v>
      </c>
      <c r="E68" s="18" t="s">
        <v>1502</v>
      </c>
      <c r="F68" s="89" t="s">
        <v>1515</v>
      </c>
      <c r="G68" s="90"/>
      <c r="H68" s="84"/>
    </row>
    <row r="69" spans="1:9" x14ac:dyDescent="0.25">
      <c r="B69" s="245"/>
      <c r="C69" s="246">
        <v>43</v>
      </c>
      <c r="D69" s="231" t="s">
        <v>1558</v>
      </c>
      <c r="E69" s="18" t="s">
        <v>1502</v>
      </c>
      <c r="F69" s="89" t="s">
        <v>1515</v>
      </c>
      <c r="G69" s="91"/>
      <c r="H69" s="84"/>
    </row>
    <row r="70" spans="1:9" ht="25" x14ac:dyDescent="0.25">
      <c r="B70" s="245"/>
      <c r="C70" s="246">
        <v>44</v>
      </c>
      <c r="D70" s="231" t="s">
        <v>1559</v>
      </c>
      <c r="E70" s="18" t="s">
        <v>1560</v>
      </c>
      <c r="F70" s="89" t="s">
        <v>1515</v>
      </c>
      <c r="G70" s="91"/>
      <c r="H70" s="84"/>
    </row>
    <row r="71" spans="1:9" ht="25" x14ac:dyDescent="0.25">
      <c r="B71" s="245"/>
      <c r="C71" s="246">
        <v>45</v>
      </c>
      <c r="D71" s="231" t="s">
        <v>1561</v>
      </c>
      <c r="E71" s="18" t="s">
        <v>1560</v>
      </c>
      <c r="F71" s="89" t="s">
        <v>1515</v>
      </c>
      <c r="G71" s="91"/>
      <c r="H71" s="84"/>
    </row>
    <row r="72" spans="1:9" ht="25.5" thickBot="1" x14ac:dyDescent="0.3">
      <c r="B72" s="249"/>
      <c r="C72" s="250">
        <v>46</v>
      </c>
      <c r="D72" s="242" t="s">
        <v>1562</v>
      </c>
      <c r="E72" s="20" t="s">
        <v>1502</v>
      </c>
      <c r="F72" s="94" t="s">
        <v>1515</v>
      </c>
      <c r="G72" s="95"/>
      <c r="H72" s="84"/>
    </row>
    <row r="73" spans="1:9" ht="13" thickBot="1" x14ac:dyDescent="0.3"/>
    <row r="74" spans="1:9" ht="14.5" thickBot="1" x14ac:dyDescent="0.35">
      <c r="A74" s="1897" t="s">
        <v>1563</v>
      </c>
      <c r="B74" s="1898"/>
      <c r="C74" s="1898"/>
      <c r="D74" s="1898"/>
      <c r="E74" s="1898"/>
      <c r="F74" s="1898"/>
      <c r="G74" s="1898"/>
      <c r="H74" s="1898"/>
      <c r="I74" s="1898"/>
    </row>
    <row r="75" spans="1:9" ht="13" thickBot="1" x14ac:dyDescent="0.3"/>
    <row r="76" spans="1:9" ht="13.5" thickBot="1" x14ac:dyDescent="0.3">
      <c r="B76" s="96" t="s">
        <v>1511</v>
      </c>
      <c r="C76" s="97" t="s">
        <v>1512</v>
      </c>
      <c r="D76" s="97" t="s">
        <v>1692</v>
      </c>
      <c r="E76" s="1911" t="s">
        <v>1771</v>
      </c>
      <c r="F76" s="1912"/>
      <c r="G76" s="37"/>
    </row>
    <row r="77" spans="1:9" x14ac:dyDescent="0.25">
      <c r="B77" s="1913" t="s">
        <v>1572</v>
      </c>
      <c r="C77" s="258">
        <v>47</v>
      </c>
      <c r="D77" s="259" t="s">
        <v>1564</v>
      </c>
      <c r="E77" s="100" t="s">
        <v>1515</v>
      </c>
      <c r="F77" s="101" t="s">
        <v>1502</v>
      </c>
      <c r="G77" s="37"/>
    </row>
    <row r="78" spans="1:9" ht="25" x14ac:dyDescent="0.25">
      <c r="B78" s="1913"/>
      <c r="C78" s="246">
        <v>48</v>
      </c>
      <c r="D78" s="260" t="s">
        <v>1565</v>
      </c>
      <c r="E78" s="102" t="s">
        <v>1515</v>
      </c>
      <c r="F78" s="103" t="s">
        <v>1502</v>
      </c>
      <c r="G78" s="37"/>
    </row>
    <row r="79" spans="1:9" x14ac:dyDescent="0.25">
      <c r="B79" s="1913"/>
      <c r="C79" s="246">
        <v>49</v>
      </c>
      <c r="D79" s="260" t="s">
        <v>1566</v>
      </c>
      <c r="E79" s="102" t="s">
        <v>1515</v>
      </c>
      <c r="F79" s="103" t="s">
        <v>1502</v>
      </c>
      <c r="G79" s="37"/>
    </row>
    <row r="80" spans="1:9" ht="25" x14ac:dyDescent="0.25">
      <c r="B80" s="1913"/>
      <c r="C80" s="246">
        <v>50</v>
      </c>
      <c r="D80" s="260" t="s">
        <v>1567</v>
      </c>
      <c r="E80" s="102" t="s">
        <v>1568</v>
      </c>
      <c r="F80" s="103" t="s">
        <v>1502</v>
      </c>
      <c r="G80" s="37"/>
    </row>
    <row r="81" spans="2:7" ht="25" x14ac:dyDescent="0.25">
      <c r="B81" s="1913"/>
      <c r="C81" s="246">
        <v>51</v>
      </c>
      <c r="D81" s="260" t="s">
        <v>1569</v>
      </c>
      <c r="E81" s="102" t="s">
        <v>1515</v>
      </c>
      <c r="F81" s="103" t="s">
        <v>1502</v>
      </c>
      <c r="G81" s="37"/>
    </row>
    <row r="82" spans="2:7" x14ac:dyDescent="0.25">
      <c r="B82" s="1913"/>
      <c r="C82" s="246">
        <v>52</v>
      </c>
      <c r="D82" s="260" t="s">
        <v>1570</v>
      </c>
      <c r="E82" s="102" t="s">
        <v>1515</v>
      </c>
      <c r="F82" s="103" t="s">
        <v>1502</v>
      </c>
      <c r="G82" s="37"/>
    </row>
    <row r="83" spans="2:7" ht="25.5" thickBot="1" x14ac:dyDescent="0.3">
      <c r="B83" s="1914"/>
      <c r="C83" s="250">
        <v>53</v>
      </c>
      <c r="D83" s="261" t="s">
        <v>1571</v>
      </c>
      <c r="E83" s="104" t="s">
        <v>1515</v>
      </c>
      <c r="F83" s="105" t="s">
        <v>1502</v>
      </c>
      <c r="G83" s="37"/>
    </row>
  </sheetData>
  <sheetProtection password="C534" sheet="1" objects="1" scenarios="1" selectLockedCells="1"/>
  <mergeCells count="19">
    <mergeCell ref="E76:F76"/>
    <mergeCell ref="B77:B83"/>
    <mergeCell ref="A55:I55"/>
    <mergeCell ref="E57:G57"/>
    <mergeCell ref="A74:I74"/>
    <mergeCell ref="B12:B17"/>
    <mergeCell ref="B37:C37"/>
    <mergeCell ref="A39:I39"/>
    <mergeCell ref="E41:I41"/>
    <mergeCell ref="B19:B25"/>
    <mergeCell ref="A27:I27"/>
    <mergeCell ref="D29:E29"/>
    <mergeCell ref="B30:B35"/>
    <mergeCell ref="B10:B11"/>
    <mergeCell ref="A1:I1"/>
    <mergeCell ref="A3:I3"/>
    <mergeCell ref="E5:G5"/>
    <mergeCell ref="B6:B7"/>
    <mergeCell ref="B8:B9"/>
  </mergeCells>
  <phoneticPr fontId="2" type="noConversion"/>
  <pageMargins left="0.75" right="0.75" top="1" bottom="1" header="0.5" footer="0.5"/>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11"/>
  <dimension ref="A1:O114"/>
  <sheetViews>
    <sheetView topLeftCell="A67" zoomScale="75" workbookViewId="0">
      <selection activeCell="G91" sqref="G91"/>
    </sheetView>
  </sheetViews>
  <sheetFormatPr defaultColWidth="9.1796875" defaultRowHeight="12.5" x14ac:dyDescent="0.25"/>
  <cols>
    <col min="1" max="1" width="5.81640625" style="10" customWidth="1"/>
    <col min="2" max="2" width="3.81640625" style="10" customWidth="1"/>
    <col min="3" max="3" width="3.26953125" style="10" customWidth="1"/>
    <col min="4" max="4" width="11" style="10" customWidth="1"/>
    <col min="5" max="5" width="20.81640625" style="10" customWidth="1"/>
    <col min="6" max="6" width="64" style="10" customWidth="1"/>
    <col min="7" max="7" width="21.453125" style="10" bestFit="1" customWidth="1"/>
    <col min="8" max="8" width="3.54296875" style="109" customWidth="1"/>
    <col min="9" max="9" width="24.7265625" style="10" customWidth="1"/>
    <col min="10" max="10" width="36.453125" style="10" customWidth="1"/>
    <col min="11" max="11" width="10.81640625" style="168" bestFit="1" customWidth="1"/>
    <col min="12" max="12" width="11.54296875" style="114" bestFit="1" customWidth="1"/>
    <col min="13" max="13" width="7" style="10" bestFit="1" customWidth="1"/>
    <col min="14" max="14" width="8.81640625" style="10" bestFit="1" customWidth="1"/>
    <col min="15" max="16384" width="9.1796875" style="10"/>
  </cols>
  <sheetData>
    <row r="1" spans="1:12" ht="16" thickBot="1" x14ac:dyDescent="0.3">
      <c r="A1" s="1376" t="s">
        <v>2309</v>
      </c>
      <c r="B1" s="1945"/>
      <c r="C1" s="1945"/>
      <c r="D1" s="1945"/>
      <c r="E1" s="1945"/>
      <c r="F1" s="1945"/>
      <c r="G1" s="1946"/>
    </row>
    <row r="2" spans="1:12" s="137" customFormat="1" ht="13.5" thickBot="1" x14ac:dyDescent="0.3">
      <c r="A2" s="82"/>
      <c r="B2" s="82"/>
      <c r="C2" s="82"/>
      <c r="D2" s="82"/>
      <c r="E2" s="82"/>
      <c r="F2" s="82"/>
      <c r="G2" s="82"/>
      <c r="H2" s="136"/>
      <c r="K2" s="169"/>
      <c r="L2" s="12"/>
    </row>
    <row r="3" spans="1:12" ht="13.5" thickBot="1" x14ac:dyDescent="0.3">
      <c r="A3" s="1952" t="s">
        <v>1580</v>
      </c>
      <c r="B3" s="1953"/>
      <c r="C3" s="1953"/>
      <c r="D3" s="1953"/>
      <c r="E3" s="1953"/>
      <c r="F3" s="1953"/>
      <c r="G3" s="135"/>
      <c r="I3" s="1943" t="s">
        <v>409</v>
      </c>
      <c r="J3" s="1944"/>
    </row>
    <row r="4" spans="1:12" ht="13" thickBot="1" x14ac:dyDescent="0.3">
      <c r="I4" s="163" t="s">
        <v>2140</v>
      </c>
      <c r="J4" s="166" t="s">
        <v>2141</v>
      </c>
      <c r="K4" s="114"/>
    </row>
    <row r="5" spans="1:12" ht="12.75" customHeight="1" thickBot="1" x14ac:dyDescent="0.3">
      <c r="B5" s="1940" t="s">
        <v>2139</v>
      </c>
      <c r="C5" s="1941"/>
      <c r="D5" s="1941"/>
      <c r="E5" s="1941"/>
      <c r="F5" s="1941"/>
      <c r="G5" s="1956"/>
      <c r="I5" s="164" t="s">
        <v>2142</v>
      </c>
      <c r="J5" s="166" t="s">
        <v>641</v>
      </c>
      <c r="K5" s="114"/>
    </row>
    <row r="6" spans="1:12" ht="13" thickBot="1" x14ac:dyDescent="0.3">
      <c r="I6" s="165" t="s">
        <v>492</v>
      </c>
      <c r="J6" s="166" t="s">
        <v>493</v>
      </c>
      <c r="K6" s="114"/>
    </row>
    <row r="7" spans="1:12" ht="13.5" thickBot="1" x14ac:dyDescent="0.3">
      <c r="E7" s="1950" t="s">
        <v>1574</v>
      </c>
      <c r="F7" s="1951"/>
      <c r="G7" s="107" t="s">
        <v>1575</v>
      </c>
      <c r="H7" s="115"/>
      <c r="I7" s="167" t="s">
        <v>491</v>
      </c>
      <c r="J7" s="166" t="s">
        <v>642</v>
      </c>
      <c r="K7" s="114"/>
    </row>
    <row r="8" spans="1:12" x14ac:dyDescent="0.25">
      <c r="E8" s="1957" t="s">
        <v>1578</v>
      </c>
      <c r="F8" s="1958"/>
      <c r="G8" s="124">
        <f>'LUIK3 + SCORE'!J6</f>
        <v>0</v>
      </c>
      <c r="H8" s="116"/>
      <c r="I8" s="109"/>
      <c r="J8" s="162"/>
      <c r="K8" s="114"/>
    </row>
    <row r="9" spans="1:12" x14ac:dyDescent="0.25">
      <c r="E9" s="1920" t="s">
        <v>1576</v>
      </c>
      <c r="F9" s="1921"/>
      <c r="G9" s="125">
        <f>'LUIK3 + SCORE'!J8</f>
        <v>0</v>
      </c>
      <c r="H9" s="116"/>
      <c r="I9" s="109"/>
      <c r="J9" s="162"/>
      <c r="K9" s="114"/>
    </row>
    <row r="10" spans="1:12" x14ac:dyDescent="0.25">
      <c r="E10" s="1959" t="s">
        <v>1577</v>
      </c>
      <c r="F10" s="1923"/>
      <c r="G10" s="125">
        <f>'LUIK3 + SCORE'!J9</f>
        <v>0</v>
      </c>
      <c r="H10" s="116"/>
      <c r="I10" s="109"/>
      <c r="J10" s="162"/>
      <c r="K10" s="114"/>
    </row>
    <row r="11" spans="1:12" ht="13.5" thickBot="1" x14ac:dyDescent="0.3">
      <c r="E11" s="1954" t="s">
        <v>1681</v>
      </c>
      <c r="F11" s="1955"/>
      <c r="G11" s="194">
        <f>IF(AND(G8=0,G9=0,G10=0),0,G8/(G9/10)+G10)</f>
        <v>0</v>
      </c>
      <c r="H11" s="117"/>
      <c r="I11" s="749"/>
      <c r="J11" s="162"/>
      <c r="K11" s="114"/>
    </row>
    <row r="12" spans="1:12" ht="40.5" customHeight="1" thickBot="1" x14ac:dyDescent="0.3">
      <c r="E12" s="1918" t="s">
        <v>352</v>
      </c>
      <c r="F12" s="1919"/>
      <c r="G12" s="181" t="str">
        <f>IF(G11&lt;CIJFERS!E2,"geen ambulance nodig",IF(G11&lt;CIJFERS!E3,"noodzaak te evalueren volgens andere resultaten","ambulance noodzakelijk"))</f>
        <v>geen ambulance nodig</v>
      </c>
      <c r="H12" s="117"/>
      <c r="I12" s="180"/>
      <c r="J12" s="201"/>
      <c r="K12" s="116"/>
      <c r="L12" s="116"/>
    </row>
    <row r="13" spans="1:12" ht="13" x14ac:dyDescent="0.25">
      <c r="E13" s="1947" t="s">
        <v>2100</v>
      </c>
      <c r="F13" s="1948"/>
      <c r="G13" s="1949"/>
      <c r="I13" s="116"/>
      <c r="J13" s="1924" t="s">
        <v>2317</v>
      </c>
      <c r="K13" s="1925"/>
      <c r="L13" s="116"/>
    </row>
    <row r="14" spans="1:12" ht="13" thickBot="1" x14ac:dyDescent="0.3">
      <c r="I14" s="116"/>
      <c r="J14" s="1922" t="s">
        <v>2318</v>
      </c>
      <c r="K14" s="1922"/>
      <c r="L14" s="116"/>
    </row>
    <row r="15" spans="1:12" ht="13.5" thickBot="1" x14ac:dyDescent="0.3">
      <c r="B15" s="1937" t="s">
        <v>170</v>
      </c>
      <c r="C15" s="1938"/>
      <c r="D15" s="1938"/>
      <c r="E15" s="1938"/>
      <c r="F15" s="1938"/>
      <c r="G15" s="132"/>
      <c r="I15" s="116"/>
      <c r="J15" s="187" t="s">
        <v>2319</v>
      </c>
      <c r="K15" s="29">
        <f>'LUIK 1 - AANVRAAG'!G4</f>
        <v>0</v>
      </c>
      <c r="L15" s="116"/>
    </row>
    <row r="16" spans="1:12" ht="13" thickBot="1" x14ac:dyDescent="0.3">
      <c r="I16" s="116"/>
      <c r="J16" s="187" t="s">
        <v>2320</v>
      </c>
      <c r="K16" s="29">
        <f>K15-10</f>
        <v>-10</v>
      </c>
      <c r="L16" s="116"/>
    </row>
    <row r="17" spans="2:14" ht="13.5" thickBot="1" x14ac:dyDescent="0.3">
      <c r="E17" s="1950" t="s">
        <v>1574</v>
      </c>
      <c r="F17" s="1951"/>
      <c r="G17" s="107" t="s">
        <v>1575</v>
      </c>
      <c r="H17" s="115"/>
      <c r="I17" s="116"/>
      <c r="J17" s="82"/>
      <c r="K17" s="201"/>
      <c r="L17" s="116"/>
    </row>
    <row r="18" spans="2:14" x14ac:dyDescent="0.25">
      <c r="E18" s="1957" t="s">
        <v>1578</v>
      </c>
      <c r="F18" s="1958"/>
      <c r="G18" s="124">
        <f>'LUIK3 + SCORE'!J7</f>
        <v>0</v>
      </c>
      <c r="H18" s="116"/>
      <c r="I18" s="116"/>
      <c r="J18" s="116"/>
      <c r="K18" s="201"/>
      <c r="L18" s="116"/>
    </row>
    <row r="19" spans="2:14" x14ac:dyDescent="0.25">
      <c r="E19" s="1920" t="s">
        <v>1576</v>
      </c>
      <c r="F19" s="1921"/>
      <c r="G19" s="125">
        <f>'LUIK3 + SCORE'!J8</f>
        <v>0</v>
      </c>
      <c r="H19" s="116"/>
      <c r="J19" s="122"/>
    </row>
    <row r="20" spans="2:14" x14ac:dyDescent="0.25">
      <c r="E20" s="1959" t="s">
        <v>1577</v>
      </c>
      <c r="F20" s="1923"/>
      <c r="G20" s="125">
        <f>'LUIK3 + SCORE'!J9</f>
        <v>0</v>
      </c>
      <c r="H20" s="116"/>
      <c r="J20" s="123"/>
    </row>
    <row r="21" spans="2:14" ht="13.5" customHeight="1" thickBot="1" x14ac:dyDescent="0.3">
      <c r="E21" s="1935" t="s">
        <v>1682</v>
      </c>
      <c r="F21" s="1936"/>
      <c r="G21" s="195">
        <f>IF(AND(G8=0,G9=0,G10=0),0,G18/(G19/10)+G20)</f>
        <v>0</v>
      </c>
      <c r="H21" s="117"/>
      <c r="J21" s="116"/>
    </row>
    <row r="22" spans="2:14" ht="39.75" customHeight="1" thickBot="1" x14ac:dyDescent="0.3">
      <c r="E22" s="1918" t="s">
        <v>1897</v>
      </c>
      <c r="F22" s="1919"/>
      <c r="G22" s="179" t="str">
        <f>IF(G21&lt;CIJFERS!E5,"Geen MUG nodig",IF(G21&lt;CIJFERS!E6,"Evalueer in functie van andere resultaten","MUG noodzakelijk"))</f>
        <v>Geen MUG nodig</v>
      </c>
      <c r="J22" s="116"/>
    </row>
    <row r="23" spans="2:14" ht="13" x14ac:dyDescent="0.25">
      <c r="E23" s="1947" t="s">
        <v>2100</v>
      </c>
      <c r="F23" s="1948"/>
      <c r="G23" s="1949"/>
      <c r="K23" s="168">
        <v>5000</v>
      </c>
      <c r="L23" s="114">
        <v>1</v>
      </c>
      <c r="M23" s="10">
        <v>416</v>
      </c>
    </row>
    <row r="24" spans="2:14" ht="13.5" thickBot="1" x14ac:dyDescent="0.3">
      <c r="E24" s="15"/>
      <c r="F24" s="15"/>
      <c r="G24" s="15"/>
      <c r="J24" s="162">
        <f t="shared" ref="J24:J29" si="0">K23-K24</f>
        <v>300</v>
      </c>
      <c r="K24" s="168">
        <f t="shared" ref="K24:K29" si="1">$K$23*L24</f>
        <v>4700</v>
      </c>
      <c r="L24" s="114">
        <v>0.94</v>
      </c>
      <c r="M24" s="10">
        <f t="shared" ref="M24:M29" si="2">$M$23*L24</f>
        <v>391.03999999999996</v>
      </c>
      <c r="N24" s="10">
        <f t="shared" ref="N24:N29" si="3">M23-M24</f>
        <v>24.960000000000036</v>
      </c>
    </row>
    <row r="25" spans="2:14" ht="13.5" thickBot="1" x14ac:dyDescent="0.3">
      <c r="B25" s="1937" t="s">
        <v>643</v>
      </c>
      <c r="C25" s="1938"/>
      <c r="D25" s="1938"/>
      <c r="E25" s="1938"/>
      <c r="F25" s="1938"/>
      <c r="G25" s="1939"/>
      <c r="H25" s="118"/>
      <c r="J25" s="162">
        <f t="shared" si="0"/>
        <v>250</v>
      </c>
      <c r="K25" s="168">
        <f t="shared" si="1"/>
        <v>4450</v>
      </c>
      <c r="L25" s="114">
        <v>0.89</v>
      </c>
      <c r="M25" s="10">
        <f t="shared" si="2"/>
        <v>370.24</v>
      </c>
      <c r="N25" s="10">
        <f t="shared" si="3"/>
        <v>20.799999999999955</v>
      </c>
    </row>
    <row r="26" spans="2:14" x14ac:dyDescent="0.25">
      <c r="B26" s="110"/>
      <c r="C26" s="110"/>
      <c r="D26" s="110"/>
      <c r="E26" s="110"/>
      <c r="F26" s="110"/>
      <c r="G26" s="110"/>
      <c r="H26" s="118"/>
      <c r="J26" s="162">
        <f t="shared" si="0"/>
        <v>300</v>
      </c>
      <c r="K26" s="168">
        <f t="shared" si="1"/>
        <v>4150</v>
      </c>
      <c r="L26" s="114">
        <v>0.83</v>
      </c>
      <c r="M26" s="10">
        <f t="shared" si="2"/>
        <v>345.28</v>
      </c>
      <c r="N26" s="10">
        <f t="shared" si="3"/>
        <v>24.960000000000036</v>
      </c>
    </row>
    <row r="27" spans="2:14" ht="12.75" customHeight="1" x14ac:dyDescent="0.25">
      <c r="D27" s="1942" t="s">
        <v>2101</v>
      </c>
      <c r="E27" s="1942"/>
      <c r="F27" s="1942"/>
      <c r="G27" s="1942"/>
      <c r="J27" s="162">
        <f t="shared" si="0"/>
        <v>250</v>
      </c>
      <c r="K27" s="168">
        <f t="shared" si="1"/>
        <v>3900</v>
      </c>
      <c r="L27" s="114">
        <v>0.78</v>
      </c>
      <c r="M27" s="10">
        <f t="shared" si="2"/>
        <v>324.48</v>
      </c>
      <c r="N27" s="10">
        <f t="shared" si="3"/>
        <v>20.799999999999955</v>
      </c>
    </row>
    <row r="28" spans="2:14" ht="12.75" customHeight="1" x14ac:dyDescent="0.25">
      <c r="D28" s="1923" t="s">
        <v>2104</v>
      </c>
      <c r="E28" s="1923"/>
      <c r="F28" s="1923"/>
      <c r="G28" s="18" t="str">
        <f>IF('LUIK3 + SCORE'!J10&gt;0,'LUIK3 + SCORE'!J10,'LUIK3 + SCORE'!I11)</f>
        <v/>
      </c>
      <c r="H28" s="116"/>
      <c r="J28" s="162">
        <f t="shared" si="0"/>
        <v>300</v>
      </c>
      <c r="K28" s="168">
        <f t="shared" si="1"/>
        <v>3600</v>
      </c>
      <c r="L28" s="114">
        <v>0.72</v>
      </c>
      <c r="M28" s="10">
        <f t="shared" si="2"/>
        <v>299.52</v>
      </c>
      <c r="N28" s="10">
        <f t="shared" si="3"/>
        <v>24.960000000000036</v>
      </c>
    </row>
    <row r="29" spans="2:14" x14ac:dyDescent="0.25">
      <c r="D29" s="1965" t="s">
        <v>2103</v>
      </c>
      <c r="E29" s="1965"/>
      <c r="F29" s="1965"/>
      <c r="G29" s="18">
        <f>'LUIK3 + SCORE'!J17</f>
        <v>0</v>
      </c>
      <c r="H29" s="116"/>
      <c r="I29" s="116"/>
      <c r="J29" s="162">
        <f t="shared" si="0"/>
        <v>250</v>
      </c>
      <c r="K29" s="168">
        <f t="shared" si="1"/>
        <v>3350</v>
      </c>
      <c r="L29" s="114">
        <v>0.67</v>
      </c>
      <c r="M29" s="10">
        <f t="shared" si="2"/>
        <v>278.72000000000003</v>
      </c>
      <c r="N29" s="10">
        <f t="shared" si="3"/>
        <v>20.799999999999955</v>
      </c>
    </row>
    <row r="30" spans="2:14" ht="12.75" customHeight="1" thickBot="1" x14ac:dyDescent="0.3">
      <c r="D30" s="1923" t="s">
        <v>2102</v>
      </c>
      <c r="E30" s="1923"/>
      <c r="F30" s="1923"/>
      <c r="G30" s="54">
        <f>IF(G29=0,1,IF(G29=1,0.94,IF(G29=2,0.89,IF(G29=3,0.83,IF(G29=4,0.78,IF(G29=5,0.72,IF(G29=6,0.67,IF(G29=7,0.61,0.56))))))))</f>
        <v>1</v>
      </c>
      <c r="H30" s="116"/>
      <c r="I30" s="116"/>
    </row>
    <row r="31" spans="2:14" ht="13.5" thickBot="1" x14ac:dyDescent="0.3">
      <c r="D31" s="1967" t="s">
        <v>2105</v>
      </c>
      <c r="E31" s="1968"/>
      <c r="F31" s="1969"/>
      <c r="G31" s="129">
        <f>IF('LUIK 2 - RISICOVRAAG'!E10="NEEN",0,IF(G28&gt;0,G28/G30,'LUIK3 + SCORE'!J11/INTERPRETATIE!G30))</f>
        <v>0</v>
      </c>
    </row>
    <row r="32" spans="2:14" ht="26.5" thickBot="1" x14ac:dyDescent="0.3">
      <c r="D32" s="1918" t="s">
        <v>865</v>
      </c>
      <c r="E32" s="1919"/>
      <c r="F32" s="1966"/>
      <c r="G32" s="872">
        <f>IF('LUIK 1 - AANVRAAG'!K21&gt;CIJFERS!D24,IF(G31&lt;'LUIK3 + SCORE'!I12,'LUIK3 + SCORE'!I12,INTERPRETATIE!G31),G31)</f>
        <v>0</v>
      </c>
      <c r="I32" s="1135" t="s">
        <v>806</v>
      </c>
    </row>
    <row r="33" spans="1:15" ht="13" thickBot="1" x14ac:dyDescent="0.3">
      <c r="I33" s="116"/>
    </row>
    <row r="34" spans="1:15" ht="13.5" thickBot="1" x14ac:dyDescent="0.3">
      <c r="B34" s="1940" t="s">
        <v>644</v>
      </c>
      <c r="C34" s="1941"/>
      <c r="D34" s="1941"/>
      <c r="E34" s="1941"/>
      <c r="F34" s="1941"/>
      <c r="G34" s="132"/>
    </row>
    <row r="35" spans="1:15" ht="13" thickBot="1" x14ac:dyDescent="0.3"/>
    <row r="36" spans="1:15" ht="12.75" customHeight="1" thickBot="1" x14ac:dyDescent="0.3">
      <c r="D36" s="1934" t="s">
        <v>2106</v>
      </c>
      <c r="E36" s="1911"/>
      <c r="F36" s="1911"/>
      <c r="G36" s="1912"/>
      <c r="H36" s="116"/>
      <c r="J36" s="117"/>
    </row>
    <row r="37" spans="1:15" ht="13.5" customHeight="1" thickBot="1" x14ac:dyDescent="0.3">
      <c r="D37" s="2002" t="s">
        <v>2295</v>
      </c>
      <c r="E37" s="2003"/>
      <c r="F37" s="2003"/>
      <c r="G37" s="179" t="str">
        <f>IF('LUIK3 + SCORE'!J25=0,"NEEN","JA")</f>
        <v>NEEN</v>
      </c>
      <c r="J37" s="750" t="s">
        <v>2295</v>
      </c>
      <c r="K37" s="751" t="str">
        <f>G37</f>
        <v>NEEN</v>
      </c>
    </row>
    <row r="38" spans="1:15" ht="13" thickBot="1" x14ac:dyDescent="0.3">
      <c r="I38" s="116"/>
      <c r="J38" s="116"/>
      <c r="K38" s="201"/>
      <c r="L38" s="116"/>
      <c r="M38" s="116"/>
      <c r="N38" s="116"/>
      <c r="O38" s="116"/>
    </row>
    <row r="39" spans="1:15" ht="13.5" thickBot="1" x14ac:dyDescent="0.3">
      <c r="A39" s="1918" t="s">
        <v>56</v>
      </c>
      <c r="B39" s="1919"/>
      <c r="C39" s="1919"/>
      <c r="D39" s="1919"/>
      <c r="E39" s="1919"/>
      <c r="F39" s="1919"/>
      <c r="G39" s="134"/>
      <c r="I39" s="116"/>
      <c r="J39" s="116"/>
      <c r="K39" s="201"/>
      <c r="L39" s="116"/>
      <c r="M39" s="116"/>
      <c r="N39" s="116"/>
      <c r="O39" s="116"/>
    </row>
    <row r="40" spans="1:15" ht="13" thickBot="1" x14ac:dyDescent="0.3">
      <c r="I40" s="116"/>
      <c r="J40" s="116"/>
      <c r="K40" s="201"/>
      <c r="L40" s="116"/>
      <c r="M40" s="116"/>
      <c r="N40" s="116"/>
      <c r="O40" s="116"/>
    </row>
    <row r="41" spans="1:15" ht="12.75" customHeight="1" thickBot="1" x14ac:dyDescent="0.3">
      <c r="D41" s="1934" t="s">
        <v>2107</v>
      </c>
      <c r="E41" s="1911"/>
      <c r="F41" s="1911"/>
      <c r="G41" s="1912"/>
      <c r="I41" s="116"/>
      <c r="J41" s="1926"/>
      <c r="K41" s="1926"/>
      <c r="L41" s="1926"/>
      <c r="M41" s="1926"/>
      <c r="N41" s="1926"/>
      <c r="O41" s="116"/>
    </row>
    <row r="42" spans="1:15" ht="13" thickBot="1" x14ac:dyDescent="0.3">
      <c r="D42" s="2004" t="s">
        <v>2099</v>
      </c>
      <c r="E42" s="2005"/>
      <c r="F42" s="2005"/>
      <c r="G42" s="126">
        <f>'LUIK3 + SCORE'!G37</f>
        <v>0</v>
      </c>
      <c r="I42" s="116"/>
      <c r="J42" s="116"/>
      <c r="K42" s="201"/>
      <c r="L42" s="116"/>
      <c r="M42" s="116"/>
      <c r="N42" s="116"/>
      <c r="O42" s="116"/>
    </row>
    <row r="43" spans="1:15" ht="13" thickBot="1" x14ac:dyDescent="0.3">
      <c r="D43" s="1991" t="s">
        <v>2132</v>
      </c>
      <c r="E43" s="1992"/>
      <c r="F43" s="1993"/>
      <c r="G43" s="121">
        <f>IF(G42&lt;CIJFERS!D9,0,IF(G42&lt;CIJFERS!D10,1,IF(G42&lt;CIJFERS!D11,2,IF(G42&lt;CIJFERS!D12,3,IF(G42&lt;CIJFERS!D13,4,IF(G42&lt;CIJFERS!D14,5,IF(G42&lt;CIJFERS!D15,6,IF(G42&lt;CIJFERS!D16,7,8))))))))</f>
        <v>0</v>
      </c>
      <c r="I43" s="116"/>
      <c r="J43" s="752"/>
      <c r="K43" s="752"/>
      <c r="L43" s="752"/>
      <c r="M43" s="752"/>
      <c r="N43" s="752"/>
      <c r="O43" s="116"/>
    </row>
    <row r="44" spans="1:15" ht="13" thickBot="1" x14ac:dyDescent="0.3">
      <c r="D44" s="1985" t="s">
        <v>1899</v>
      </c>
      <c r="E44" s="1986"/>
      <c r="F44" s="1987"/>
      <c r="G44" s="121">
        <f>IF(G42&lt;CIJFERS!D17,0,IF(G42&lt;CIJFERS!D18,1,2))</f>
        <v>0</v>
      </c>
      <c r="I44" s="116"/>
      <c r="J44" s="752"/>
      <c r="K44" s="752"/>
      <c r="L44" s="752"/>
      <c r="M44" s="752"/>
      <c r="N44" s="752"/>
      <c r="O44" s="116"/>
    </row>
    <row r="45" spans="1:15" ht="13" thickBot="1" x14ac:dyDescent="0.3">
      <c r="I45" s="116"/>
      <c r="J45" s="116"/>
      <c r="K45" s="201"/>
      <c r="L45" s="116"/>
      <c r="M45" s="116"/>
      <c r="N45" s="116"/>
      <c r="O45" s="116"/>
    </row>
    <row r="46" spans="1:15" ht="13.5" thickBot="1" x14ac:dyDescent="0.3">
      <c r="A46" s="1918" t="s">
        <v>57</v>
      </c>
      <c r="B46" s="1919"/>
      <c r="C46" s="1919"/>
      <c r="D46" s="1919"/>
      <c r="E46" s="1919"/>
      <c r="F46" s="1919"/>
      <c r="G46" s="133"/>
      <c r="H46" s="10"/>
    </row>
    <row r="47" spans="1:15" ht="13" thickBot="1" x14ac:dyDescent="0.3">
      <c r="H47" s="10"/>
    </row>
    <row r="48" spans="1:15" ht="13.5" thickBot="1" x14ac:dyDescent="0.3">
      <c r="D48" s="1976" t="s">
        <v>2280</v>
      </c>
      <c r="E48" s="1977"/>
      <c r="F48" s="1977"/>
      <c r="G48" s="1978"/>
      <c r="H48" s="10"/>
    </row>
    <row r="49" spans="4:12" x14ac:dyDescent="0.25">
      <c r="D49" s="2000" t="s">
        <v>762</v>
      </c>
      <c r="E49" s="2001"/>
      <c r="F49" s="2001"/>
      <c r="G49" s="124">
        <f>'LUIK3 + SCORE'!J37</f>
        <v>0</v>
      </c>
      <c r="H49" s="10"/>
      <c r="I49" s="109"/>
    </row>
    <row r="50" spans="4:12" x14ac:dyDescent="0.25">
      <c r="D50" s="1959" t="s">
        <v>2110</v>
      </c>
      <c r="E50" s="1923"/>
      <c r="F50" s="1923"/>
      <c r="G50" s="125">
        <f>'LUIK3 + SCORE'!J47</f>
        <v>0</v>
      </c>
      <c r="H50" s="10"/>
      <c r="I50" s="109"/>
    </row>
    <row r="51" spans="4:12" ht="13" x14ac:dyDescent="0.25">
      <c r="D51" s="1959" t="s">
        <v>2111</v>
      </c>
      <c r="E51" s="1923"/>
      <c r="F51" s="1923"/>
      <c r="G51" s="128">
        <f>'LUIK3 + SCORE'!J55</f>
        <v>0</v>
      </c>
      <c r="H51" s="10"/>
      <c r="I51" s="753"/>
      <c r="J51" s="1932" t="s">
        <v>862</v>
      </c>
      <c r="K51" s="1932"/>
    </row>
    <row r="52" spans="4:12" ht="13.5" thickBot="1" x14ac:dyDescent="0.3">
      <c r="D52" s="1973" t="s">
        <v>2112</v>
      </c>
      <c r="E52" s="1974"/>
      <c r="F52" s="1974"/>
      <c r="G52" s="199">
        <f>IF(G51&lt;44,1,IF(G51&lt;66,2,IF(G51&lt;87,3,IF(G51&lt;99,4,6))))</f>
        <v>1</v>
      </c>
      <c r="H52" s="10"/>
      <c r="I52" s="753"/>
      <c r="J52" s="436" t="s">
        <v>778</v>
      </c>
      <c r="K52" s="437">
        <f>28/48*100</f>
        <v>58.333333333333336</v>
      </c>
      <c r="L52" s="114">
        <f>K52*109/100</f>
        <v>63.583333333333343</v>
      </c>
    </row>
    <row r="53" spans="4:12" ht="13" thickBot="1" x14ac:dyDescent="0.3">
      <c r="H53" s="10"/>
      <c r="I53" s="109"/>
      <c r="J53" s="436" t="s">
        <v>779</v>
      </c>
      <c r="K53" s="437">
        <f>39/48*100</f>
        <v>81.25</v>
      </c>
      <c r="L53" s="114">
        <f>K53*109/100</f>
        <v>88.5625</v>
      </c>
    </row>
    <row r="54" spans="4:12" ht="12.75" customHeight="1" thickBot="1" x14ac:dyDescent="0.3">
      <c r="E54" s="1997" t="s">
        <v>456</v>
      </c>
      <c r="F54" s="1998"/>
      <c r="G54" s="1999"/>
      <c r="H54" s="10"/>
      <c r="J54" s="436" t="s">
        <v>2281</v>
      </c>
      <c r="K54" s="436">
        <v>100</v>
      </c>
    </row>
    <row r="55" spans="4:12" x14ac:dyDescent="0.25">
      <c r="E55" s="1995" t="s">
        <v>763</v>
      </c>
      <c r="F55" s="1996"/>
      <c r="G55" s="196">
        <f>CIJFERS!I3</f>
        <v>12</v>
      </c>
      <c r="H55" s="10"/>
      <c r="K55" s="114"/>
    </row>
    <row r="56" spans="4:12" x14ac:dyDescent="0.25">
      <c r="E56" s="1981" t="s">
        <v>2113</v>
      </c>
      <c r="F56" s="1982"/>
      <c r="G56" s="197">
        <f>CIJFERS!I4</f>
        <v>12</v>
      </c>
      <c r="H56" s="10"/>
      <c r="J56" s="10">
        <v>40</v>
      </c>
      <c r="K56" s="114">
        <f>109*J56/100</f>
        <v>43.6</v>
      </c>
    </row>
    <row r="57" spans="4:12" x14ac:dyDescent="0.25">
      <c r="E57" s="1981" t="str">
        <f>D62</f>
        <v>Aantal levensbedreigende aandoeningen (na regulatie)</v>
      </c>
      <c r="F57" s="1982"/>
      <c r="G57" s="197">
        <f>CIJFERS!I5</f>
        <v>1.9E-2</v>
      </c>
      <c r="H57" s="10"/>
      <c r="J57" s="10">
        <v>60</v>
      </c>
      <c r="K57" s="114">
        <f>109*J57/100</f>
        <v>65.400000000000006</v>
      </c>
    </row>
    <row r="58" spans="4:12" ht="13.5" customHeight="1" x14ac:dyDescent="0.25">
      <c r="E58" s="1981" t="str">
        <f>D63</f>
        <v>Aantal dringende aandoeningen (vraag voor arts en/of voor ambulancetransport naar ziekenhuis)</v>
      </c>
      <c r="F58" s="1982"/>
      <c r="G58" s="197">
        <f>CIJFERS!I6</f>
        <v>0.19</v>
      </c>
      <c r="H58" s="10"/>
      <c r="J58" s="10">
        <v>80</v>
      </c>
      <c r="K58" s="114">
        <f>109*J58/100</f>
        <v>87.2</v>
      </c>
    </row>
    <row r="59" spans="4:12" ht="13.5" customHeight="1" thickBot="1" x14ac:dyDescent="0.3">
      <c r="E59" s="1983" t="str">
        <f>D64</f>
        <v>Aantal vragen voor (eenvoudige) medische verzorging</v>
      </c>
      <c r="F59" s="1984"/>
      <c r="G59" s="198">
        <f>CIJFERS!I7</f>
        <v>2</v>
      </c>
      <c r="H59" s="10"/>
      <c r="J59" s="10">
        <v>90</v>
      </c>
      <c r="K59" s="114">
        <f>109*J59/100</f>
        <v>98.1</v>
      </c>
    </row>
    <row r="60" spans="4:12" ht="13" thickBot="1" x14ac:dyDescent="0.3">
      <c r="H60" s="10"/>
      <c r="K60" s="114"/>
    </row>
    <row r="61" spans="4:12" ht="13.5" thickBot="1" x14ac:dyDescent="0.3">
      <c r="D61" s="1934" t="s">
        <v>219</v>
      </c>
      <c r="E61" s="1911"/>
      <c r="F61" s="1911"/>
      <c r="G61" s="1912"/>
      <c r="H61" s="10"/>
      <c r="I61" s="127"/>
      <c r="J61" s="127"/>
    </row>
    <row r="62" spans="4:12" ht="13.5" thickBot="1" x14ac:dyDescent="0.3">
      <c r="D62" s="1991" t="s">
        <v>460</v>
      </c>
      <c r="E62" s="1992"/>
      <c r="F62" s="1993"/>
      <c r="G62" s="161">
        <f>((G49*(G50/5)*(G51/4)*G57)/10000)*G52/5</f>
        <v>0</v>
      </c>
      <c r="H62" s="10"/>
      <c r="I62" s="1994"/>
      <c r="J62" s="1994"/>
    </row>
    <row r="63" spans="4:12" ht="13.5" thickBot="1" x14ac:dyDescent="0.3">
      <c r="D63" s="1962" t="s">
        <v>2138</v>
      </c>
      <c r="E63" s="1963"/>
      <c r="F63" s="1964"/>
      <c r="G63" s="161">
        <f>(G49*G50/5*G51/4*G58)/10000*G52/3</f>
        <v>0</v>
      </c>
      <c r="I63" s="127"/>
      <c r="J63" s="127"/>
    </row>
    <row r="64" spans="4:12" ht="13.5" thickBot="1" x14ac:dyDescent="0.3">
      <c r="D64" s="1962" t="s">
        <v>2117</v>
      </c>
      <c r="E64" s="1963"/>
      <c r="F64" s="1964"/>
      <c r="G64" s="161">
        <f>(G49*G50/5*G51/4*G59)/10000+((G49*G50/5*G51/4*G59)/10000)/8.6/100+((G49*G50/5*G51/4*G59)/10000)/100*0.86-G63-G62</f>
        <v>0</v>
      </c>
      <c r="I64" s="131"/>
      <c r="J64" s="127"/>
    </row>
    <row r="65" spans="1:13" ht="13.5" thickBot="1" x14ac:dyDescent="0.3">
      <c r="D65" s="1988" t="s">
        <v>457</v>
      </c>
      <c r="E65" s="1989"/>
      <c r="F65" s="1990"/>
      <c r="G65" s="161">
        <f>SUM(G62:G64)</f>
        <v>0</v>
      </c>
      <c r="I65" s="729">
        <f>G64/2</f>
        <v>0</v>
      </c>
      <c r="J65" s="127"/>
    </row>
    <row r="66" spans="1:13" ht="13.5" thickBot="1" x14ac:dyDescent="0.3">
      <c r="D66" s="1962" t="s">
        <v>2114</v>
      </c>
      <c r="E66" s="1963"/>
      <c r="F66" s="1964"/>
      <c r="G66" s="130">
        <f>IF((G50=0),0,(G64/2)/((G50/4)*60/G55))</f>
        <v>0</v>
      </c>
    </row>
    <row r="67" spans="1:13" ht="13.5" thickBot="1" x14ac:dyDescent="0.3">
      <c r="D67" s="1985" t="s">
        <v>2115</v>
      </c>
      <c r="E67" s="1986"/>
      <c r="F67" s="1987"/>
      <c r="G67" s="130">
        <f>IF('LUIK 2 - RISICOVRAAG'!E10="NEEN",0,INT(G66)+1)*G56</f>
        <v>0</v>
      </c>
      <c r="J67" s="730">
        <f>INT(J66)</f>
        <v>0</v>
      </c>
    </row>
    <row r="68" spans="1:13" ht="13" thickBot="1" x14ac:dyDescent="0.3"/>
    <row r="69" spans="1:13" ht="13.5" thickBot="1" x14ac:dyDescent="0.3">
      <c r="A69" s="1918" t="s">
        <v>2116</v>
      </c>
      <c r="B69" s="1919"/>
      <c r="C69" s="1919"/>
      <c r="D69" s="1919"/>
      <c r="E69" s="1919"/>
      <c r="F69" s="1919"/>
      <c r="G69" s="1966"/>
    </row>
    <row r="70" spans="1:13" ht="13" thickBot="1" x14ac:dyDescent="0.3"/>
    <row r="71" spans="1:13" ht="13.5" thickBot="1" x14ac:dyDescent="0.3">
      <c r="D71" s="1934" t="s">
        <v>2130</v>
      </c>
      <c r="E71" s="1911"/>
      <c r="F71" s="1911"/>
      <c r="G71" s="1912"/>
      <c r="I71" s="116"/>
      <c r="J71" s="116"/>
      <c r="K71" s="201"/>
      <c r="L71" s="116"/>
      <c r="M71" s="116"/>
    </row>
    <row r="72" spans="1:13" ht="28.5" customHeight="1" thickBot="1" x14ac:dyDescent="0.3">
      <c r="D72" s="1960" t="s">
        <v>2296</v>
      </c>
      <c r="E72" s="1961"/>
      <c r="F72" s="1961"/>
      <c r="G72" s="121" t="str">
        <f>IF('LUIK3 + SCORE'!J61&lt;2,"eenvoudige registratie", "zoek vergelijkbare registratie")</f>
        <v>eenvoudige registratie</v>
      </c>
      <c r="I72" s="116"/>
      <c r="J72" s="116"/>
      <c r="K72" s="201"/>
      <c r="L72" s="116"/>
      <c r="M72" s="116"/>
    </row>
    <row r="73" spans="1:13" ht="26.25" customHeight="1" thickBot="1" x14ac:dyDescent="0.3">
      <c r="D73" s="1962" t="s">
        <v>2307</v>
      </c>
      <c r="E73" s="1963"/>
      <c r="F73" s="1964"/>
      <c r="G73" s="121" t="str">
        <f>IF('LUIK3 + SCORE'!J65=0, "geen opzoeking nodig", "voer literatuursurvey uit")</f>
        <v>geen opzoeking nodig</v>
      </c>
      <c r="I73" s="116"/>
      <c r="J73" s="1979"/>
      <c r="K73" s="1979"/>
      <c r="L73" s="1979"/>
      <c r="M73" s="1979"/>
    </row>
    <row r="74" spans="1:13" ht="13" thickBot="1" x14ac:dyDescent="0.3">
      <c r="D74" s="1973" t="s">
        <v>2308</v>
      </c>
      <c r="E74" s="1974"/>
      <c r="F74" s="1975"/>
      <c r="G74" s="121" t="str">
        <f>IF('LUIK3 + SCORE'!J79=0,"NEEN","JA")</f>
        <v>JA</v>
      </c>
      <c r="I74" s="116"/>
      <c r="J74" s="1980"/>
      <c r="K74" s="1980"/>
      <c r="L74" s="1980"/>
      <c r="M74" s="116"/>
    </row>
    <row r="75" spans="1:13" ht="13" thickBot="1" x14ac:dyDescent="0.3">
      <c r="D75" s="182"/>
      <c r="E75" s="182"/>
      <c r="F75" s="182"/>
      <c r="G75" s="116"/>
      <c r="I75" s="116"/>
      <c r="J75" s="116"/>
      <c r="K75" s="116"/>
      <c r="L75" s="116"/>
      <c r="M75" s="116"/>
    </row>
    <row r="76" spans="1:13" ht="13.5" thickBot="1" x14ac:dyDescent="0.3">
      <c r="A76" s="1918" t="s">
        <v>1563</v>
      </c>
      <c r="B76" s="1919"/>
      <c r="C76" s="1919"/>
      <c r="D76" s="1919"/>
      <c r="E76" s="1919"/>
      <c r="F76" s="1919"/>
      <c r="G76" s="1966"/>
      <c r="I76" s="116"/>
      <c r="J76" s="116"/>
      <c r="K76" s="201"/>
      <c r="L76" s="116"/>
      <c r="M76" s="116"/>
    </row>
    <row r="77" spans="1:13" ht="13" thickBot="1" x14ac:dyDescent="0.3">
      <c r="I77" s="116"/>
      <c r="J77" s="116"/>
      <c r="K77" s="201"/>
      <c r="L77" s="116"/>
      <c r="M77" s="116"/>
    </row>
    <row r="78" spans="1:13" ht="13.5" thickBot="1" x14ac:dyDescent="0.3">
      <c r="D78" s="1934" t="s">
        <v>2131</v>
      </c>
      <c r="E78" s="1911"/>
      <c r="F78" s="1911"/>
      <c r="G78" s="1912"/>
      <c r="I78" s="116"/>
      <c r="J78" s="116"/>
      <c r="K78" s="201"/>
      <c r="L78" s="116"/>
      <c r="M78" s="116"/>
    </row>
    <row r="79" spans="1:13" ht="13" thickBot="1" x14ac:dyDescent="0.3">
      <c r="D79" s="1970" t="s">
        <v>1717</v>
      </c>
      <c r="E79" s="1971"/>
      <c r="F79" s="1972"/>
      <c r="G79" s="121" t="str">
        <f>IF('LUIK3 + SCORE'!J100=0, "NEEN","JA")</f>
        <v>NEEN</v>
      </c>
    </row>
    <row r="81" spans="1:10" ht="13" thickBot="1" x14ac:dyDescent="0.3"/>
    <row r="82" spans="1:10" ht="16" thickBot="1" x14ac:dyDescent="0.3">
      <c r="A82" s="1376" t="s">
        <v>2310</v>
      </c>
      <c r="B82" s="1945"/>
      <c r="C82" s="1945"/>
      <c r="D82" s="1945"/>
      <c r="E82" s="1945"/>
      <c r="F82" s="1945"/>
      <c r="G82" s="1946"/>
    </row>
    <row r="83" spans="1:10" ht="13" thickBot="1" x14ac:dyDescent="0.3"/>
    <row r="84" spans="1:10" ht="13" x14ac:dyDescent="0.25">
      <c r="D84" s="1976" t="s">
        <v>490</v>
      </c>
      <c r="E84" s="1977"/>
      <c r="F84" s="1977"/>
      <c r="G84" s="1978"/>
    </row>
    <row r="85" spans="1:10" x14ac:dyDescent="0.25">
      <c r="D85" s="1922" t="str">
        <f>'LUIK 4 - RISICO''S VGZ'!C29</f>
        <v>Is er nood aan andere maatregelen op of nabij de manifestatie</v>
      </c>
      <c r="E85" s="1922"/>
      <c r="F85" s="1922"/>
      <c r="G85" s="200" t="str">
        <f>'LUIK 4 - RISICO''S VGZ'!D29</f>
        <v>NEEN</v>
      </c>
    </row>
    <row r="86" spans="1:10" x14ac:dyDescent="0.25">
      <c r="D86" s="1922" t="str">
        <f>'LUIK 4 - RISICO''S VGZ'!C30</f>
        <v>Is er nood aan andere maatregelen op of nabij de camping</v>
      </c>
      <c r="E86" s="1922"/>
      <c r="F86" s="1922"/>
      <c r="G86" s="200" t="str">
        <f>'LUIK 4 - RISICO''S VGZ'!D30</f>
        <v>NEEN</v>
      </c>
    </row>
    <row r="88" spans="1:10" ht="13" thickBot="1" x14ac:dyDescent="0.3"/>
    <row r="89" spans="1:10" ht="16" thickBot="1" x14ac:dyDescent="0.3">
      <c r="A89" s="1376" t="s">
        <v>2311</v>
      </c>
      <c r="B89" s="1945"/>
      <c r="C89" s="1945"/>
      <c r="D89" s="1945"/>
      <c r="E89" s="1945"/>
      <c r="F89" s="1945"/>
      <c r="G89" s="1946"/>
    </row>
    <row r="91" spans="1:10" x14ac:dyDescent="0.25">
      <c r="D91" s="1933" t="s">
        <v>1819</v>
      </c>
      <c r="E91" s="1933"/>
      <c r="F91" s="1933"/>
      <c r="G91" s="11" t="e">
        <f>IF(G65/G50&lt;1,"GSM",IF(G66&lt;2,"schema 1",IF(G62&lt;1,"schema 2","schema 3")))</f>
        <v>#DIV/0!</v>
      </c>
      <c r="J91" s="1055" t="e">
        <f>IF(G91="GSM",0,IF(G91="schema 1",1,IF(G91="schema 2",2,3)))</f>
        <v>#DIV/0!</v>
      </c>
    </row>
    <row r="93" spans="1:10" ht="15.75" customHeight="1" x14ac:dyDescent="0.25">
      <c r="D93" s="11" t="s">
        <v>461</v>
      </c>
      <c r="E93" s="11" t="s">
        <v>462</v>
      </c>
      <c r="F93" s="11" t="s">
        <v>463</v>
      </c>
      <c r="G93" s="10">
        <v>0</v>
      </c>
    </row>
    <row r="95" spans="1:10" x14ac:dyDescent="0.25">
      <c r="D95" s="42" t="s">
        <v>2312</v>
      </c>
      <c r="E95" s="42" t="s">
        <v>2313</v>
      </c>
      <c r="F95" s="11" t="s">
        <v>2315</v>
      </c>
      <c r="G95" s="10">
        <v>1</v>
      </c>
    </row>
    <row r="96" spans="1:10" x14ac:dyDescent="0.25">
      <c r="D96" s="38"/>
      <c r="E96" s="38"/>
      <c r="F96" s="11" t="s">
        <v>2314</v>
      </c>
    </row>
    <row r="98" spans="1:7" x14ac:dyDescent="0.25">
      <c r="D98" s="42" t="s">
        <v>2316</v>
      </c>
      <c r="E98" s="42" t="s">
        <v>2321</v>
      </c>
      <c r="F98" s="11" t="s">
        <v>2315</v>
      </c>
      <c r="G98" s="10">
        <v>2</v>
      </c>
    </row>
    <row r="99" spans="1:7" x14ac:dyDescent="0.25">
      <c r="D99" s="202"/>
      <c r="E99" s="202"/>
      <c r="F99" s="11" t="s">
        <v>2314</v>
      </c>
    </row>
    <row r="100" spans="1:7" x14ac:dyDescent="0.25">
      <c r="D100" s="38"/>
      <c r="E100" s="38"/>
      <c r="F100" s="11" t="s">
        <v>2322</v>
      </c>
    </row>
    <row r="102" spans="1:7" x14ac:dyDescent="0.25">
      <c r="D102" s="42" t="s">
        <v>2323</v>
      </c>
      <c r="E102" s="42" t="s">
        <v>2324</v>
      </c>
      <c r="F102" s="11" t="s">
        <v>2315</v>
      </c>
      <c r="G102" s="10">
        <v>3</v>
      </c>
    </row>
    <row r="103" spans="1:7" x14ac:dyDescent="0.25">
      <c r="D103" s="202"/>
      <c r="E103" s="202"/>
      <c r="F103" s="11" t="s">
        <v>558</v>
      </c>
    </row>
    <row r="104" spans="1:7" x14ac:dyDescent="0.25">
      <c r="D104" s="202"/>
      <c r="E104" s="202"/>
      <c r="F104" s="11" t="s">
        <v>556</v>
      </c>
    </row>
    <row r="105" spans="1:7" x14ac:dyDescent="0.25">
      <c r="D105" s="202"/>
      <c r="E105" s="202"/>
      <c r="F105" s="11" t="s">
        <v>559</v>
      </c>
    </row>
    <row r="106" spans="1:7" x14ac:dyDescent="0.25">
      <c r="D106" s="202"/>
      <c r="E106" s="202"/>
      <c r="F106" s="11" t="s">
        <v>557</v>
      </c>
    </row>
    <row r="107" spans="1:7" x14ac:dyDescent="0.25">
      <c r="D107" s="38"/>
      <c r="E107" s="38"/>
      <c r="F107" s="11" t="s">
        <v>534</v>
      </c>
    </row>
    <row r="108" spans="1:7" ht="13" thickBot="1" x14ac:dyDescent="0.3"/>
    <row r="109" spans="1:7" ht="33" customHeight="1" thickBot="1" x14ac:dyDescent="0.3">
      <c r="A109" s="1376" t="s">
        <v>1695</v>
      </c>
      <c r="B109" s="1927"/>
      <c r="C109" s="1927"/>
      <c r="D109" s="1927"/>
      <c r="E109" s="1927"/>
      <c r="F109" s="1927"/>
      <c r="G109" s="1928"/>
    </row>
    <row r="110" spans="1:7" ht="13" thickBot="1" x14ac:dyDescent="0.3"/>
    <row r="111" spans="1:7" ht="13" x14ac:dyDescent="0.25">
      <c r="D111" s="1929" t="s">
        <v>194</v>
      </c>
      <c r="E111" s="1930"/>
      <c r="F111" s="1930"/>
      <c r="G111" s="1931"/>
    </row>
    <row r="112" spans="1:7" x14ac:dyDescent="0.25">
      <c r="D112" s="1923" t="s">
        <v>195</v>
      </c>
      <c r="E112" s="1923"/>
      <c r="F112" s="1923"/>
      <c r="G112" s="732">
        <f>'LUIK 1 - AANVRAAG'!I15</f>
        <v>0</v>
      </c>
    </row>
    <row r="113" spans="4:7" x14ac:dyDescent="0.25">
      <c r="D113" s="1923" t="s">
        <v>765</v>
      </c>
      <c r="E113" s="1923"/>
      <c r="F113" s="1923"/>
      <c r="G113" s="733">
        <f>'LUIK 1 - AANVRAAG'!K8</f>
        <v>0</v>
      </c>
    </row>
    <row r="114" spans="4:7" x14ac:dyDescent="0.25">
      <c r="D114" s="731"/>
      <c r="E114" s="731"/>
      <c r="F114" s="731"/>
    </row>
  </sheetData>
  <sheetProtection password="C534" sheet="1" objects="1" scenarios="1"/>
  <mergeCells count="78">
    <mergeCell ref="D86:F86"/>
    <mergeCell ref="A89:G89"/>
    <mergeCell ref="E22:F22"/>
    <mergeCell ref="D52:F52"/>
    <mergeCell ref="D48:G48"/>
    <mergeCell ref="E55:F55"/>
    <mergeCell ref="E56:F56"/>
    <mergeCell ref="E57:F57"/>
    <mergeCell ref="E54:G54"/>
    <mergeCell ref="D49:F49"/>
    <mergeCell ref="D43:F43"/>
    <mergeCell ref="D44:F44"/>
    <mergeCell ref="D41:G41"/>
    <mergeCell ref="A46:F46"/>
    <mergeCell ref="D37:F37"/>
    <mergeCell ref="D42:F42"/>
    <mergeCell ref="J73:M73"/>
    <mergeCell ref="J74:L74"/>
    <mergeCell ref="E58:F58"/>
    <mergeCell ref="E59:F59"/>
    <mergeCell ref="D66:F66"/>
    <mergeCell ref="D67:F67"/>
    <mergeCell ref="D65:F65"/>
    <mergeCell ref="D61:G61"/>
    <mergeCell ref="D62:F62"/>
    <mergeCell ref="I62:J62"/>
    <mergeCell ref="D63:F63"/>
    <mergeCell ref="D64:F64"/>
    <mergeCell ref="A69:G69"/>
    <mergeCell ref="D71:G71"/>
    <mergeCell ref="D79:F79"/>
    <mergeCell ref="D74:F74"/>
    <mergeCell ref="A76:G76"/>
    <mergeCell ref="D78:G78"/>
    <mergeCell ref="D85:F85"/>
    <mergeCell ref="A82:G82"/>
    <mergeCell ref="D84:G84"/>
    <mergeCell ref="D72:F72"/>
    <mergeCell ref="D73:F73"/>
    <mergeCell ref="D28:F28"/>
    <mergeCell ref="D29:F29"/>
    <mergeCell ref="D30:F30"/>
    <mergeCell ref="D32:F32"/>
    <mergeCell ref="D31:F31"/>
    <mergeCell ref="D50:F50"/>
    <mergeCell ref="D51:F51"/>
    <mergeCell ref="I3:J3"/>
    <mergeCell ref="A1:G1"/>
    <mergeCell ref="A39:F39"/>
    <mergeCell ref="E13:G13"/>
    <mergeCell ref="E23:G23"/>
    <mergeCell ref="E17:F17"/>
    <mergeCell ref="A3:F3"/>
    <mergeCell ref="B15:F15"/>
    <mergeCell ref="E11:F11"/>
    <mergeCell ref="B5:G5"/>
    <mergeCell ref="E8:F8"/>
    <mergeCell ref="E7:F7"/>
    <mergeCell ref="E10:F10"/>
    <mergeCell ref="E20:F20"/>
    <mergeCell ref="E18:F18"/>
    <mergeCell ref="E19:F19"/>
    <mergeCell ref="E12:F12"/>
    <mergeCell ref="E9:F9"/>
    <mergeCell ref="J14:K14"/>
    <mergeCell ref="D112:F112"/>
    <mergeCell ref="D113:F113"/>
    <mergeCell ref="J13:K13"/>
    <mergeCell ref="J41:N41"/>
    <mergeCell ref="A109:G109"/>
    <mergeCell ref="D111:G111"/>
    <mergeCell ref="J51:K51"/>
    <mergeCell ref="D91:F91"/>
    <mergeCell ref="D36:G36"/>
    <mergeCell ref="E21:F21"/>
    <mergeCell ref="B25:G25"/>
    <mergeCell ref="B34:F34"/>
    <mergeCell ref="D27:G27"/>
  </mergeCells>
  <phoneticPr fontId="2" type="noConversion"/>
  <pageMargins left="0.53" right="0.51" top="0.51" bottom="0.53" header="0.27" footer="0.31"/>
  <pageSetup paperSize="9" orientation="landscape" horizontalDpi="4294967293" verticalDpi="2" r:id="rId1"/>
  <headerFooter alignWithMargins="0">
    <oddHeader>&amp;L&amp;"Arial,Bold"&amp;11RISICOMANIFESTATIES&amp;C&amp;"Arial,Bold"&amp;11REKENMODEL&amp;R&amp;"Arial,Bold"&amp;11MEDISCHE DISCIPLINE</oddHeader>
    <oddFooter>&amp;LDATUM MANIFESTATIE : ___/___/200__&amp;CDATUM OPMAAK : &amp;D&amp;R&amp;P</oddFooter>
  </headerFooter>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12"/>
  <dimension ref="A1:L97"/>
  <sheetViews>
    <sheetView topLeftCell="A67" zoomScale="75" zoomScaleNormal="75" workbookViewId="0">
      <selection activeCell="K78" sqref="K78"/>
    </sheetView>
  </sheetViews>
  <sheetFormatPr defaultColWidth="9.1796875" defaultRowHeight="12.5" x14ac:dyDescent="0.25"/>
  <cols>
    <col min="1" max="1" width="28.1796875" style="37" bestFit="1" customWidth="1"/>
    <col min="2" max="2" width="34.81640625" style="37" customWidth="1"/>
    <col min="3" max="3" width="8.1796875" style="37" customWidth="1"/>
    <col min="4" max="4" width="38.26953125" style="37" customWidth="1"/>
    <col min="5" max="5" width="12" style="37" customWidth="1"/>
    <col min="6" max="6" width="4.7265625" style="37" customWidth="1"/>
    <col min="7" max="7" width="9" style="37" customWidth="1"/>
    <col min="8" max="8" width="13" style="37" customWidth="1"/>
    <col min="9" max="9" width="9.1796875" style="37"/>
    <col min="10" max="10" width="38.26953125" style="37" customWidth="1"/>
    <col min="11" max="11" width="10.81640625" style="37" customWidth="1"/>
    <col min="12" max="16384" width="9.1796875" style="37"/>
  </cols>
  <sheetData>
    <row r="1" spans="1:11" ht="13" x14ac:dyDescent="0.25">
      <c r="A1" s="270" t="s">
        <v>650</v>
      </c>
      <c r="B1" s="2014" t="str">
        <f>'LUIK 1 - AANVRAAG'!G6</f>
        <v>Maak uw keuze</v>
      </c>
      <c r="C1" s="2015"/>
      <c r="D1" s="2016"/>
      <c r="E1" s="271" t="s">
        <v>651</v>
      </c>
      <c r="F1" s="2006">
        <f>'LUIK 1 - AANVRAAG'!G4</f>
        <v>0</v>
      </c>
      <c r="G1" s="2007"/>
      <c r="H1" s="2008"/>
    </row>
    <row r="2" spans="1:11" ht="13" x14ac:dyDescent="0.25">
      <c r="A2" s="272" t="s">
        <v>652</v>
      </c>
      <c r="B2" s="2017">
        <f>'LUIK 1 - AANVRAAG'!G7</f>
        <v>0</v>
      </c>
      <c r="C2" s="2018"/>
      <c r="D2" s="2019"/>
      <c r="E2" s="262" t="s">
        <v>653</v>
      </c>
      <c r="F2" s="263">
        <f>'LUIK3 + SCORE'!J47</f>
        <v>0</v>
      </c>
      <c r="G2" s="263" t="s">
        <v>1308</v>
      </c>
      <c r="H2" s="273"/>
    </row>
    <row r="3" spans="1:11" ht="13.5" thickBot="1" x14ac:dyDescent="0.3">
      <c r="A3" s="274" t="s">
        <v>476</v>
      </c>
      <c r="B3" s="2020">
        <f>'LUIK 1 - AANVRAAG'!G25</f>
        <v>0</v>
      </c>
      <c r="C3" s="2021"/>
      <c r="D3" s="2022"/>
      <c r="E3" s="275" t="s">
        <v>477</v>
      </c>
      <c r="F3" s="2009">
        <f>'LUIK 1 - AANVRAAG'!G31</f>
        <v>0</v>
      </c>
      <c r="G3" s="2010"/>
      <c r="H3" s="2011"/>
    </row>
    <row r="4" spans="1:11" ht="12" customHeight="1" thickBot="1" x14ac:dyDescent="0.3"/>
    <row r="5" spans="1:11" ht="13" x14ac:dyDescent="0.25">
      <c r="A5" s="184" t="s">
        <v>480</v>
      </c>
      <c r="B5" s="2012" t="s">
        <v>472</v>
      </c>
      <c r="C5" s="2012"/>
      <c r="D5" s="2012"/>
      <c r="E5" s="2012"/>
      <c r="F5" s="2012"/>
      <c r="G5" s="2012"/>
      <c r="H5" s="2013"/>
      <c r="I5" s="110"/>
    </row>
    <row r="6" spans="1:11" x14ac:dyDescent="0.25">
      <c r="A6" s="69" t="s">
        <v>2126</v>
      </c>
      <c r="B6" s="2023" t="s">
        <v>1900</v>
      </c>
      <c r="C6" s="2026"/>
      <c r="D6" s="2027" t="str">
        <f>INTERPRETATIE!G12</f>
        <v>geen ambulance nodig</v>
      </c>
      <c r="E6" s="2023"/>
      <c r="F6" s="2023"/>
      <c r="G6" s="2023"/>
      <c r="H6" s="2026"/>
    </row>
    <row r="7" spans="1:11" x14ac:dyDescent="0.25">
      <c r="A7" s="138"/>
      <c r="B7" s="2023" t="s">
        <v>1902</v>
      </c>
      <c r="C7" s="2026"/>
      <c r="D7" s="2025" t="str">
        <f>INTERPRETATIE!G22</f>
        <v>Geen MUG nodig</v>
      </c>
      <c r="E7" s="2023"/>
      <c r="F7" s="2023"/>
      <c r="G7" s="2023"/>
      <c r="H7" s="2026"/>
    </row>
    <row r="8" spans="1:11" x14ac:dyDescent="0.25">
      <c r="A8" s="138"/>
      <c r="B8" s="2023" t="str">
        <f>INTERPRETATIE!D31</f>
        <v xml:space="preserve">Inschatting van het aantal benodigde BLS-ploegen </v>
      </c>
      <c r="C8" s="2023"/>
      <c r="D8" s="2024"/>
      <c r="E8" s="183">
        <f>INTERPRETATIE!G32</f>
        <v>0</v>
      </c>
    </row>
    <row r="9" spans="1:11" x14ac:dyDescent="0.25">
      <c r="A9" s="99"/>
      <c r="B9" s="2023" t="s">
        <v>455</v>
      </c>
      <c r="C9" s="2023"/>
      <c r="D9" s="2026"/>
      <c r="E9" s="139">
        <f>'LUIK3 + SCORE'!I18</f>
        <v>0</v>
      </c>
    </row>
    <row r="10" spans="1:11" x14ac:dyDescent="0.25">
      <c r="A10" s="138" t="s">
        <v>2127</v>
      </c>
      <c r="B10" s="2025" t="str">
        <f>INTERPRETATIE!D42</f>
        <v>Berekende populatie</v>
      </c>
      <c r="C10" s="2023"/>
      <c r="D10" s="2026"/>
      <c r="E10" s="64">
        <f>INTERPRETATIE!G42</f>
        <v>0</v>
      </c>
    </row>
    <row r="11" spans="1:11" ht="14.5" x14ac:dyDescent="0.25">
      <c r="A11" s="138"/>
      <c r="B11" s="2025" t="s">
        <v>765</v>
      </c>
      <c r="C11" s="2023"/>
      <c r="D11" s="2026"/>
      <c r="E11" s="64">
        <f>INTERPRETATIE!G50</f>
        <v>0</v>
      </c>
      <c r="J11" s="206" t="s">
        <v>1951</v>
      </c>
      <c r="K11" s="207" t="e">
        <f>#REF!</f>
        <v>#REF!</v>
      </c>
    </row>
    <row r="12" spans="1:11" ht="14.5" x14ac:dyDescent="0.25">
      <c r="A12" s="138"/>
      <c r="B12" s="2025" t="s">
        <v>2132</v>
      </c>
      <c r="C12" s="2023"/>
      <c r="D12" s="2026"/>
      <c r="E12" s="64">
        <f>INTERPRETATIE!G43</f>
        <v>0</v>
      </c>
      <c r="J12" s="206" t="s">
        <v>1952</v>
      </c>
      <c r="K12" s="207" t="e">
        <f>E22</f>
        <v>#DIV/0!</v>
      </c>
    </row>
    <row r="13" spans="1:11" ht="14.5" x14ac:dyDescent="0.25">
      <c r="A13" s="99"/>
      <c r="B13" s="2025" t="s">
        <v>2137</v>
      </c>
      <c r="C13" s="2023"/>
      <c r="D13" s="2026"/>
      <c r="E13" s="64">
        <f>INTERPRETATIE!G44</f>
        <v>0</v>
      </c>
      <c r="J13" s="206" t="s">
        <v>1818</v>
      </c>
      <c r="K13" s="207">
        <f>E23</f>
        <v>0</v>
      </c>
    </row>
    <row r="14" spans="1:11" ht="14.5" x14ac:dyDescent="0.25">
      <c r="A14" s="69" t="s">
        <v>1915</v>
      </c>
      <c r="B14" s="2025" t="str">
        <f>INTERPRETATIE!D62</f>
        <v>Aantal levensbedreigende aandoeningen (na regulatie)</v>
      </c>
      <c r="C14" s="2023"/>
      <c r="D14" s="2026"/>
      <c r="E14" s="139">
        <f>INTERPRETATIE!G62</f>
        <v>0</v>
      </c>
      <c r="J14" s="206" t="s">
        <v>1953</v>
      </c>
      <c r="K14" s="207">
        <f>E24</f>
        <v>0</v>
      </c>
    </row>
    <row r="15" spans="1:11" ht="14.5" x14ac:dyDescent="0.25">
      <c r="A15" s="138"/>
      <c r="B15" s="2029" t="str">
        <f>INTERPRETATIE!D63</f>
        <v>Aantal dringende aandoeningen (vraag voor arts en/of voor ambulancetransport naar ziekenhuis)</v>
      </c>
      <c r="C15" s="2030"/>
      <c r="D15" s="2031"/>
      <c r="E15" s="139">
        <f>INTERPRETATIE!G63</f>
        <v>0</v>
      </c>
      <c r="J15" s="206" t="s">
        <v>1954</v>
      </c>
      <c r="K15" s="207" t="e">
        <f>E25</f>
        <v>#DIV/0!</v>
      </c>
    </row>
    <row r="16" spans="1:11" ht="12.75" customHeight="1" x14ac:dyDescent="0.25">
      <c r="A16" s="138"/>
      <c r="B16" s="2025" t="str">
        <f>INTERPRETATIE!D64</f>
        <v>Aantal vragen voor (eenvoudige) medische verzorging</v>
      </c>
      <c r="C16" s="2023"/>
      <c r="D16" s="2026"/>
      <c r="E16" s="139">
        <f>INTERPRETATIE!G64</f>
        <v>0</v>
      </c>
      <c r="J16" s="206" t="s">
        <v>1955</v>
      </c>
      <c r="K16" s="207" t="e">
        <f>E26</f>
        <v>#DIV/0!</v>
      </c>
    </row>
    <row r="17" spans="1:12" x14ac:dyDescent="0.25">
      <c r="A17" s="138"/>
      <c r="B17" s="2025" t="str">
        <f>INTERPRETATIE!D66</f>
        <v>Aantal simultane behandelingen en dus te voorzien aantal plaatsen in de hulppost(en)</v>
      </c>
      <c r="C17" s="2023"/>
      <c r="D17" s="2026"/>
      <c r="E17" s="140">
        <f>INTERPRETATIE!G66</f>
        <v>0</v>
      </c>
      <c r="K17" s="185"/>
    </row>
    <row r="18" spans="1:12" x14ac:dyDescent="0.25">
      <c r="A18" s="99"/>
      <c r="B18" s="2025" t="str">
        <f>INTERPRETATIE!D67</f>
        <v>Minimale totale oppervlakte voor de hulppost(en)</v>
      </c>
      <c r="C18" s="2023"/>
      <c r="D18" s="2026"/>
      <c r="E18" s="140">
        <f>INTERPRETATIE!G67</f>
        <v>0</v>
      </c>
    </row>
    <row r="19" spans="1:12" x14ac:dyDescent="0.25">
      <c r="A19" s="185" t="s">
        <v>1956</v>
      </c>
      <c r="B19" s="783" t="s">
        <v>1957</v>
      </c>
      <c r="C19" s="784"/>
      <c r="D19" s="785"/>
      <c r="E19" s="140"/>
    </row>
    <row r="20" spans="1:12" ht="13.5" thickBot="1" x14ac:dyDescent="0.3">
      <c r="A20" s="185"/>
      <c r="B20" s="783" t="s">
        <v>1958</v>
      </c>
      <c r="C20" s="784"/>
      <c r="D20" s="785"/>
      <c r="E20" s="140"/>
      <c r="J20" s="1044" t="s">
        <v>901</v>
      </c>
    </row>
    <row r="21" spans="1:12" ht="13" x14ac:dyDescent="0.25">
      <c r="A21" s="264" t="s">
        <v>647</v>
      </c>
      <c r="B21" s="2014" t="s">
        <v>648</v>
      </c>
      <c r="C21" s="2015"/>
      <c r="D21" s="2016"/>
      <c r="E21" s="463">
        <f>IF(INTERPRETATIE!G43&gt;0,INTERPRETATIE!G43,IF(INTERPRETATIE!G63&gt;0.5,1,IF(INTERPRETATIE!G11&gt;15,1,0)))</f>
        <v>0</v>
      </c>
      <c r="H21" s="37" t="s">
        <v>1524</v>
      </c>
      <c r="J21" s="37">
        <f>IF(E12*5000+5000-E10&lt;1000,IF((INTERPRETATIE!G21*2+20)/60*(RESULTATEN!E14+RESULTATEN!E15)&gt;RESULTATEN!E11*0.8,RESULTATEN!E12+1,RESULTATEN!E12),1)</f>
        <v>1</v>
      </c>
    </row>
    <row r="22" spans="1:12" ht="13.5" thickBot="1" x14ac:dyDescent="0.3">
      <c r="A22" s="265"/>
      <c r="B22" s="2017" t="s">
        <v>649</v>
      </c>
      <c r="C22" s="2018"/>
      <c r="D22" s="2019"/>
      <c r="E22" s="463" t="e">
        <f>IF(INTERPRETATIE!G44&gt;0,INTERPRETATIE!G44,IF((INTERPRETATIE!G62+INTERPRETATIE!G63*0.2)/'LUIK3 + SCORE'!J47&gt;0.3,1,IF(INTERPRETATIE!G42&lt;10000,"0",IF(INTERPRETATIE!G21&gt;CIJFERS!E7,1,0))))</f>
        <v>#DIV/0!</v>
      </c>
      <c r="J22" s="37">
        <f>INTERPRETATIE!G44+(26/2)/84/4*E9/2</f>
        <v>0</v>
      </c>
    </row>
    <row r="23" spans="1:12" ht="13" x14ac:dyDescent="0.25">
      <c r="A23" s="265"/>
      <c r="B23" s="2017" t="s">
        <v>171</v>
      </c>
      <c r="C23" s="2018"/>
      <c r="D23" s="2019"/>
      <c r="E23" s="266">
        <f>E8</f>
        <v>0</v>
      </c>
      <c r="G23" s="84"/>
      <c r="J23" s="1045"/>
      <c r="K23" s="1048"/>
      <c r="L23" s="1049"/>
    </row>
    <row r="24" spans="1:12" ht="13" x14ac:dyDescent="0.25">
      <c r="A24" s="265"/>
      <c r="B24" s="2017" t="s">
        <v>471</v>
      </c>
      <c r="C24" s="2018"/>
      <c r="D24" s="2019"/>
      <c r="E24" s="267">
        <f>E17*2</f>
        <v>0</v>
      </c>
      <c r="G24" s="84"/>
      <c r="J24" s="1046"/>
      <c r="K24" s="463">
        <f>IF(INTERPRETATIE!E63&gt;1,INTERPRETATIE!E43,IF((RESULTATEN!E12*5000+5000-RESULTATEN!E10)&gt;1000,RESULTATEN!E12,IF((INTERPRETATIE!G11*2+25+10)/60*(RESULTATEN!E14+RESULTATEN!E15)&gt;RESULTATEN!E11*0.8,RESULTATEN!E12+1,IF(INTERPRETATIE!E63&gt;0.5,1,IF(INTERPRETATIE!E11&gt;15,1,0)))))</f>
        <v>0</v>
      </c>
      <c r="L24" s="1050"/>
    </row>
    <row r="25" spans="1:12" ht="13.5" thickBot="1" x14ac:dyDescent="0.3">
      <c r="A25" s="265"/>
      <c r="B25" s="2017" t="s">
        <v>475</v>
      </c>
      <c r="C25" s="2018"/>
      <c r="D25" s="2019"/>
      <c r="E25" s="266" t="e">
        <f>(E15/F2*0.8+E16/F2*0.4)/5*2</f>
        <v>#DIV/0!</v>
      </c>
      <c r="G25" s="1043"/>
      <c r="J25" s="1047"/>
      <c r="K25" s="1052"/>
      <c r="L25" s="1051"/>
    </row>
    <row r="26" spans="1:12" ht="13.5" thickBot="1" x14ac:dyDescent="0.3">
      <c r="A26" s="268"/>
      <c r="B26" s="2020" t="s">
        <v>474</v>
      </c>
      <c r="C26" s="2021"/>
      <c r="D26" s="2022"/>
      <c r="E26" s="269" t="e">
        <f>(E15/F2*0.8+E16/F2*0.2)/4.5*1.5</f>
        <v>#DIV/0!</v>
      </c>
      <c r="G26" s="1043"/>
      <c r="J26" s="37" t="s">
        <v>167</v>
      </c>
    </row>
    <row r="27" spans="1:12" ht="13" thickBot="1" x14ac:dyDescent="0.3"/>
    <row r="28" spans="1:12" ht="13" thickBot="1" x14ac:dyDescent="0.3">
      <c r="A28" s="141" t="s">
        <v>481</v>
      </c>
      <c r="B28" s="142" t="s">
        <v>473</v>
      </c>
      <c r="C28" s="142"/>
      <c r="D28" s="142"/>
      <c r="E28" s="142"/>
      <c r="F28" s="142"/>
      <c r="G28" s="142"/>
      <c r="H28" s="143"/>
    </row>
    <row r="29" spans="1:12" x14ac:dyDescent="0.25">
      <c r="A29" s="64" t="s">
        <v>478</v>
      </c>
      <c r="B29" s="64" t="s">
        <v>479</v>
      </c>
      <c r="C29" s="64" t="str">
        <f>INTERPRETATIE!G37</f>
        <v>NEEN</v>
      </c>
      <c r="D29" s="2037" t="s">
        <v>484</v>
      </c>
      <c r="E29" s="2037"/>
      <c r="F29" s="2037"/>
      <c r="G29" s="2037"/>
      <c r="H29" s="37" t="s">
        <v>495</v>
      </c>
      <c r="J29" s="1132"/>
    </row>
    <row r="30" spans="1:12" x14ac:dyDescent="0.25">
      <c r="A30" s="64" t="s">
        <v>482</v>
      </c>
      <c r="B30" s="64" t="s">
        <v>479</v>
      </c>
      <c r="C30" s="64" t="str">
        <f>INTERPRETATIE!G74</f>
        <v>JA</v>
      </c>
      <c r="D30" s="2037" t="s">
        <v>483</v>
      </c>
      <c r="E30" s="2037"/>
      <c r="F30" s="2037"/>
      <c r="G30" s="2037"/>
      <c r="H30" s="37" t="s">
        <v>495</v>
      </c>
    </row>
    <row r="31" spans="1:12" x14ac:dyDescent="0.25">
      <c r="A31" s="64" t="s">
        <v>2129</v>
      </c>
      <c r="B31" s="64" t="s">
        <v>479</v>
      </c>
      <c r="C31" s="64" t="str">
        <f>INTERPRETATIE!G79</f>
        <v>NEEN</v>
      </c>
      <c r="D31" s="2037" t="s">
        <v>485</v>
      </c>
      <c r="E31" s="2037"/>
      <c r="F31" s="2037"/>
      <c r="G31" s="2037"/>
      <c r="H31" s="37" t="s">
        <v>495</v>
      </c>
    </row>
    <row r="32" spans="1:12" ht="13" thickBot="1" x14ac:dyDescent="0.3"/>
    <row r="33" spans="1:8" ht="13" thickBot="1" x14ac:dyDescent="0.3">
      <c r="A33" s="141" t="s">
        <v>486</v>
      </c>
      <c r="B33" s="142" t="s">
        <v>487</v>
      </c>
      <c r="C33" s="142"/>
      <c r="D33" s="142"/>
      <c r="E33" s="142"/>
      <c r="F33" s="142"/>
      <c r="G33" s="142"/>
      <c r="H33" s="143"/>
    </row>
    <row r="34" spans="1:8" x14ac:dyDescent="0.25">
      <c r="A34" s="99" t="s">
        <v>487</v>
      </c>
      <c r="B34" s="99" t="s">
        <v>488</v>
      </c>
      <c r="C34" s="99">
        <f>'LUIK 4 - RISICO''S VGZ'!J24</f>
        <v>0</v>
      </c>
      <c r="D34" s="2028" t="s">
        <v>494</v>
      </c>
      <c r="E34" s="2028"/>
      <c r="F34" s="2028"/>
      <c r="G34" s="2028"/>
      <c r="H34" s="37" t="s">
        <v>495</v>
      </c>
    </row>
    <row r="40" spans="1:8" ht="13" thickBot="1" x14ac:dyDescent="0.3"/>
    <row r="41" spans="1:8" ht="13.5" thickBot="1" x14ac:dyDescent="0.3">
      <c r="A41" s="2032" t="s">
        <v>443</v>
      </c>
      <c r="B41" s="2033"/>
      <c r="C41" s="2033"/>
      <c r="D41" s="2033"/>
      <c r="E41" s="2033"/>
      <c r="F41" s="2033"/>
      <c r="G41" s="2033"/>
      <c r="H41" s="2034"/>
    </row>
    <row r="42" spans="1:8" ht="13.5" thickBot="1" x14ac:dyDescent="0.3">
      <c r="A42" s="108" t="s">
        <v>1512</v>
      </c>
      <c r="B42" s="98" t="s">
        <v>1692</v>
      </c>
      <c r="C42" s="2038" t="s">
        <v>451</v>
      </c>
      <c r="D42" s="2039"/>
      <c r="E42" s="2039"/>
      <c r="F42" s="2039"/>
      <c r="G42" s="2040"/>
      <c r="H42" s="144" t="s">
        <v>1772</v>
      </c>
    </row>
    <row r="43" spans="1:8" x14ac:dyDescent="0.25">
      <c r="A43" s="113">
        <v>14</v>
      </c>
      <c r="B43" s="13" t="s">
        <v>1474</v>
      </c>
      <c r="C43" s="2041" t="s">
        <v>2098</v>
      </c>
      <c r="D43" s="2042"/>
      <c r="E43" s="2042"/>
      <c r="F43" s="2042"/>
      <c r="G43" s="2043"/>
      <c r="H43" s="158">
        <f>'LUIK3 + SCORE'!I19</f>
        <v>0</v>
      </c>
    </row>
    <row r="44" spans="1:8" ht="25" x14ac:dyDescent="0.25">
      <c r="A44" s="111">
        <v>15</v>
      </c>
      <c r="B44" s="2" t="s">
        <v>1475</v>
      </c>
      <c r="C44" s="2044" t="s">
        <v>2096</v>
      </c>
      <c r="D44" s="2045"/>
      <c r="E44" s="2045"/>
      <c r="F44" s="2045"/>
      <c r="G44" s="2046"/>
      <c r="H44" s="159">
        <f>'LUIK3 + SCORE'!I20</f>
        <v>0</v>
      </c>
    </row>
    <row r="45" spans="1:8" x14ac:dyDescent="0.25">
      <c r="A45" s="2035">
        <v>16</v>
      </c>
      <c r="B45" s="2036" t="s">
        <v>36</v>
      </c>
      <c r="C45" s="2044" t="s">
        <v>152</v>
      </c>
      <c r="D45" s="2045"/>
      <c r="E45" s="2045"/>
      <c r="F45" s="2045"/>
      <c r="G45" s="2046"/>
      <c r="H45" s="159">
        <f>'LUIK3 + SCORE'!I21</f>
        <v>0</v>
      </c>
    </row>
    <row r="46" spans="1:8" x14ac:dyDescent="0.25">
      <c r="A46" s="2035"/>
      <c r="B46" s="2036"/>
      <c r="C46" s="2044" t="s">
        <v>153</v>
      </c>
      <c r="D46" s="2045"/>
      <c r="E46" s="2045"/>
      <c r="F46" s="2045"/>
      <c r="G46" s="2046"/>
      <c r="H46" s="159">
        <f>'LUIK3 + SCORE'!I21</f>
        <v>0</v>
      </c>
    </row>
    <row r="47" spans="1:8" x14ac:dyDescent="0.25">
      <c r="A47" s="2035">
        <v>17</v>
      </c>
      <c r="B47" s="2036" t="s">
        <v>37</v>
      </c>
      <c r="C47" s="2044" t="s">
        <v>154</v>
      </c>
      <c r="D47" s="2045"/>
      <c r="E47" s="2045"/>
      <c r="F47" s="2045"/>
      <c r="G47" s="2046"/>
      <c r="H47" s="159">
        <f>'LUIK3 + SCORE'!I22</f>
        <v>0</v>
      </c>
    </row>
    <row r="48" spans="1:8" x14ac:dyDescent="0.25">
      <c r="A48" s="2035"/>
      <c r="B48" s="2036"/>
      <c r="C48" s="2044" t="s">
        <v>153</v>
      </c>
      <c r="D48" s="2045"/>
      <c r="E48" s="2045"/>
      <c r="F48" s="2045"/>
      <c r="G48" s="2046"/>
      <c r="H48" s="159">
        <f>'LUIK3 + SCORE'!I22</f>
        <v>0</v>
      </c>
    </row>
    <row r="49" spans="1:8" ht="25" x14ac:dyDescent="0.25">
      <c r="A49" s="111">
        <v>18</v>
      </c>
      <c r="B49" s="2" t="s">
        <v>155</v>
      </c>
      <c r="C49" s="2044" t="s">
        <v>156</v>
      </c>
      <c r="D49" s="2045"/>
      <c r="E49" s="2045"/>
      <c r="F49" s="2045"/>
      <c r="G49" s="2046"/>
      <c r="H49" s="159">
        <f>'LUIK3 + SCORE'!I23</f>
        <v>0</v>
      </c>
    </row>
    <row r="50" spans="1:8" x14ac:dyDescent="0.25">
      <c r="A50" s="111">
        <v>19</v>
      </c>
      <c r="B50" s="2" t="s">
        <v>39</v>
      </c>
      <c r="C50" s="2044" t="s">
        <v>2097</v>
      </c>
      <c r="D50" s="2045"/>
      <c r="E50" s="2045"/>
      <c r="F50" s="2045"/>
      <c r="G50" s="2046"/>
      <c r="H50" s="159">
        <f>'LUIK3 + SCORE'!I24</f>
        <v>0</v>
      </c>
    </row>
    <row r="51" spans="1:8" ht="13" thickBot="1" x14ac:dyDescent="0.3">
      <c r="A51" s="112">
        <v>20</v>
      </c>
      <c r="B51" s="14" t="s">
        <v>40</v>
      </c>
      <c r="C51" s="2052" t="s">
        <v>157</v>
      </c>
      <c r="D51" s="2053"/>
      <c r="E51" s="2053"/>
      <c r="F51" s="2053"/>
      <c r="G51" s="2054"/>
      <c r="H51" s="160">
        <f>'LUIK3 + SCORE'!I25</f>
        <v>0</v>
      </c>
    </row>
    <row r="52" spans="1:8" ht="13" thickBot="1" x14ac:dyDescent="0.3"/>
    <row r="53" spans="1:8" ht="13.5" thickBot="1" x14ac:dyDescent="0.3">
      <c r="A53" s="2047" t="s">
        <v>454</v>
      </c>
      <c r="B53" s="2048"/>
      <c r="C53" s="2048"/>
      <c r="D53" s="2048"/>
      <c r="E53" s="2048"/>
      <c r="F53" s="2048"/>
      <c r="G53" s="2048"/>
      <c r="H53" s="2049"/>
    </row>
    <row r="54" spans="1:8" ht="13.5" customHeight="1" thickBot="1" x14ac:dyDescent="0.3">
      <c r="A54" s="96" t="s">
        <v>1512</v>
      </c>
      <c r="B54" s="97" t="s">
        <v>1692</v>
      </c>
      <c r="C54" s="2051" t="s">
        <v>451</v>
      </c>
      <c r="D54" s="2051"/>
      <c r="E54" s="2051"/>
      <c r="F54" s="2051"/>
      <c r="G54" s="2051"/>
      <c r="H54" s="144" t="s">
        <v>1772</v>
      </c>
    </row>
    <row r="55" spans="1:8" x14ac:dyDescent="0.25">
      <c r="A55" s="152">
        <v>37</v>
      </c>
      <c r="B55" s="16" t="s">
        <v>1278</v>
      </c>
      <c r="C55" s="1992" t="s">
        <v>444</v>
      </c>
      <c r="D55" s="1992"/>
      <c r="E55" s="1992"/>
      <c r="F55" s="1992"/>
      <c r="G55" s="1992"/>
      <c r="H55" s="153">
        <f>'LUIK3 + SCORE'!I66</f>
        <v>0</v>
      </c>
    </row>
    <row r="56" spans="1:8" x14ac:dyDescent="0.25">
      <c r="A56" s="154">
        <v>38</v>
      </c>
      <c r="B56" s="11" t="s">
        <v>1549</v>
      </c>
      <c r="C56" s="1963" t="s">
        <v>445</v>
      </c>
      <c r="D56" s="1963"/>
      <c r="E56" s="1963"/>
      <c r="F56" s="1963"/>
      <c r="G56" s="1963"/>
      <c r="H56" s="155">
        <f>'LUIK3 + SCORE'!I67</f>
        <v>0</v>
      </c>
    </row>
    <row r="57" spans="1:8" x14ac:dyDescent="0.25">
      <c r="A57" s="154">
        <v>39</v>
      </c>
      <c r="B57" s="11" t="s">
        <v>1552</v>
      </c>
      <c r="C57" s="1963" t="s">
        <v>446</v>
      </c>
      <c r="D57" s="1963"/>
      <c r="E57" s="1963"/>
      <c r="F57" s="1963"/>
      <c r="G57" s="1963"/>
      <c r="H57" s="155">
        <f>'LUIK3 + SCORE'!I68</f>
        <v>0</v>
      </c>
    </row>
    <row r="58" spans="1:8" ht="25" x14ac:dyDescent="0.25">
      <c r="A58" s="154">
        <v>40</v>
      </c>
      <c r="B58" s="11" t="s">
        <v>1553</v>
      </c>
      <c r="C58" s="1963" t="s">
        <v>447</v>
      </c>
      <c r="D58" s="1963"/>
      <c r="E58" s="1963"/>
      <c r="F58" s="1963"/>
      <c r="G58" s="1963"/>
      <c r="H58" s="155">
        <f>'LUIK3 + SCORE'!I69</f>
        <v>0</v>
      </c>
    </row>
    <row r="59" spans="1:8" ht="25" x14ac:dyDescent="0.25">
      <c r="A59" s="154">
        <v>41</v>
      </c>
      <c r="B59" s="11" t="s">
        <v>1554</v>
      </c>
      <c r="C59" s="1963" t="s">
        <v>448</v>
      </c>
      <c r="D59" s="1963"/>
      <c r="E59" s="1963"/>
      <c r="F59" s="1963"/>
      <c r="G59" s="1963"/>
      <c r="H59" s="155">
        <f>'LUIK3 + SCORE'!I74</f>
        <v>0</v>
      </c>
    </row>
    <row r="60" spans="1:8" x14ac:dyDescent="0.25">
      <c r="A60" s="154">
        <v>42</v>
      </c>
      <c r="B60" s="11" t="s">
        <v>1557</v>
      </c>
      <c r="C60" s="1963" t="s">
        <v>449</v>
      </c>
      <c r="D60" s="1963"/>
      <c r="E60" s="1963"/>
      <c r="F60" s="1963"/>
      <c r="G60" s="1963"/>
      <c r="H60" s="155">
        <f>'LUIK3 + SCORE'!I75</f>
        <v>0</v>
      </c>
    </row>
    <row r="61" spans="1:8" x14ac:dyDescent="0.25">
      <c r="A61" s="154">
        <v>43</v>
      </c>
      <c r="B61" s="11" t="s">
        <v>1558</v>
      </c>
      <c r="C61" s="1963" t="s">
        <v>449</v>
      </c>
      <c r="D61" s="1963"/>
      <c r="E61" s="1963"/>
      <c r="F61" s="1963"/>
      <c r="G61" s="1963"/>
      <c r="H61" s="155">
        <f>'LUIK3 + SCORE'!I76</f>
        <v>0</v>
      </c>
    </row>
    <row r="62" spans="1:8" ht="25" x14ac:dyDescent="0.25">
      <c r="A62" s="154">
        <v>44</v>
      </c>
      <c r="B62" s="11" t="s">
        <v>1559</v>
      </c>
      <c r="C62" s="1963" t="s">
        <v>449</v>
      </c>
      <c r="D62" s="1963"/>
      <c r="E62" s="1963"/>
      <c r="F62" s="1963"/>
      <c r="G62" s="1963"/>
      <c r="H62" s="155">
        <f>'LUIK3 + SCORE'!I77</f>
        <v>0</v>
      </c>
    </row>
    <row r="63" spans="1:8" ht="25" x14ac:dyDescent="0.25">
      <c r="A63" s="154">
        <v>45</v>
      </c>
      <c r="B63" s="11" t="s">
        <v>1561</v>
      </c>
      <c r="C63" s="1963" t="s">
        <v>449</v>
      </c>
      <c r="D63" s="1963"/>
      <c r="E63" s="1963"/>
      <c r="F63" s="1963"/>
      <c r="G63" s="1963"/>
      <c r="H63" s="155">
        <f>'LUIK3 + SCORE'!I78</f>
        <v>0</v>
      </c>
    </row>
    <row r="64" spans="1:8" ht="25.5" thickBot="1" x14ac:dyDescent="0.3">
      <c r="A64" s="156">
        <v>46</v>
      </c>
      <c r="B64" s="19" t="s">
        <v>1562</v>
      </c>
      <c r="C64" s="1986" t="s">
        <v>450</v>
      </c>
      <c r="D64" s="1986"/>
      <c r="E64" s="1986"/>
      <c r="F64" s="1986"/>
      <c r="G64" s="1986"/>
      <c r="H64" s="157">
        <f>'LUIK3 + SCORE'!I79</f>
        <v>0</v>
      </c>
    </row>
    <row r="66" spans="1:11" ht="13" thickBot="1" x14ac:dyDescent="0.3"/>
    <row r="67" spans="1:11" ht="13.5" thickBot="1" x14ac:dyDescent="0.3">
      <c r="A67" s="2047" t="s">
        <v>453</v>
      </c>
      <c r="B67" s="2048"/>
      <c r="C67" s="2048"/>
      <c r="D67" s="2048"/>
      <c r="E67" s="2048"/>
      <c r="F67" s="2048"/>
      <c r="G67" s="2048"/>
      <c r="H67" s="2049"/>
    </row>
    <row r="68" spans="1:11" ht="13.5" customHeight="1" thickBot="1" x14ac:dyDescent="0.3">
      <c r="A68" s="108" t="s">
        <v>1512</v>
      </c>
    </row>
    <row r="69" spans="1:11" x14ac:dyDescent="0.25">
      <c r="A69" s="120">
        <v>47</v>
      </c>
    </row>
    <row r="70" spans="1:11" x14ac:dyDescent="0.25">
      <c r="A70" s="52">
        <v>48</v>
      </c>
    </row>
    <row r="71" spans="1:11" x14ac:dyDescent="0.25">
      <c r="A71" s="52">
        <v>49</v>
      </c>
    </row>
    <row r="72" spans="1:11" x14ac:dyDescent="0.25">
      <c r="A72" s="52">
        <v>50</v>
      </c>
    </row>
    <row r="73" spans="1:11" ht="13" x14ac:dyDescent="0.25">
      <c r="A73" s="52">
        <v>51</v>
      </c>
      <c r="J73" s="2058" t="s">
        <v>453</v>
      </c>
      <c r="K73" s="2058"/>
    </row>
    <row r="74" spans="1:11" ht="13.5" thickBot="1" x14ac:dyDescent="0.3">
      <c r="A74" s="52">
        <v>52</v>
      </c>
      <c r="J74" s="192" t="s">
        <v>1692</v>
      </c>
      <c r="K74" s="193" t="s">
        <v>1772</v>
      </c>
    </row>
    <row r="75" spans="1:11" ht="13" thickBot="1" x14ac:dyDescent="0.3">
      <c r="A75" s="150">
        <v>53</v>
      </c>
      <c r="J75" s="189" t="s">
        <v>1564</v>
      </c>
      <c r="K75" s="148">
        <f>'LUIK3 + SCORE'!I94</f>
        <v>0</v>
      </c>
    </row>
    <row r="76" spans="1:11" x14ac:dyDescent="0.25">
      <c r="J76" s="190" t="s">
        <v>1565</v>
      </c>
      <c r="K76" s="149">
        <f>'LUIK3 + SCORE'!I95</f>
        <v>0</v>
      </c>
    </row>
    <row r="77" spans="1:11" x14ac:dyDescent="0.25">
      <c r="J77" s="190" t="s">
        <v>1566</v>
      </c>
      <c r="K77" s="149">
        <f>'LUIK3 + SCORE'!I96</f>
        <v>0</v>
      </c>
    </row>
    <row r="78" spans="1:11" x14ac:dyDescent="0.25">
      <c r="A78" s="114"/>
      <c r="B78" s="188"/>
      <c r="C78" s="188"/>
      <c r="D78" s="188"/>
      <c r="E78" s="188"/>
      <c r="F78" s="188"/>
      <c r="G78" s="188"/>
      <c r="H78" s="185"/>
      <c r="J78" s="190" t="s">
        <v>1567</v>
      </c>
      <c r="K78" s="149" t="e">
        <f>'LUIK3 + SCORE'!#REF!</f>
        <v>#REF!</v>
      </c>
    </row>
    <row r="79" spans="1:11" ht="13" thickBot="1" x14ac:dyDescent="0.3">
      <c r="A79" s="114"/>
      <c r="B79" s="119"/>
      <c r="C79" s="119"/>
      <c r="D79" s="119"/>
      <c r="E79" s="119"/>
      <c r="F79" s="119"/>
      <c r="G79" s="119"/>
      <c r="J79" s="190" t="s">
        <v>1569</v>
      </c>
      <c r="K79" s="149">
        <f>'LUIK3 + SCORE'!I97</f>
        <v>0</v>
      </c>
    </row>
    <row r="80" spans="1:11" ht="13.5" thickBot="1" x14ac:dyDescent="0.3">
      <c r="A80" s="2047" t="s">
        <v>452</v>
      </c>
      <c r="B80" s="2048"/>
      <c r="C80" s="2048"/>
      <c r="D80" s="2048"/>
      <c r="E80" s="2048"/>
      <c r="F80" s="2048"/>
      <c r="G80" s="2048"/>
      <c r="H80" s="2049"/>
      <c r="J80" s="190" t="s">
        <v>1570</v>
      </c>
      <c r="K80" s="149">
        <f>'LUIK3 + SCORE'!I98</f>
        <v>0</v>
      </c>
    </row>
    <row r="81" spans="1:11" ht="13.5" thickBot="1" x14ac:dyDescent="0.3">
      <c r="A81" s="286" t="s">
        <v>1512</v>
      </c>
      <c r="B81" s="287" t="s">
        <v>1692</v>
      </c>
      <c r="C81" s="2050" t="s">
        <v>451</v>
      </c>
      <c r="D81" s="2050"/>
      <c r="E81" s="2050"/>
      <c r="F81" s="2050"/>
      <c r="G81" s="2050"/>
      <c r="H81" s="203" t="s">
        <v>1772</v>
      </c>
      <c r="J81" s="191" t="s">
        <v>1571</v>
      </c>
      <c r="K81" s="151">
        <f>'LUIK3 + SCORE'!I99</f>
        <v>0</v>
      </c>
    </row>
    <row r="82" spans="1:11" x14ac:dyDescent="0.25">
      <c r="A82" s="2055" t="s">
        <v>1513</v>
      </c>
      <c r="B82" s="16">
        <v>54</v>
      </c>
      <c r="C82" s="1992" t="s">
        <v>1514</v>
      </c>
      <c r="D82" s="1992"/>
      <c r="E82" s="1992"/>
      <c r="F82" s="1992"/>
      <c r="G82" s="1992"/>
      <c r="H82" s="145">
        <f>'LUIK 4 - RISICO''S VGZ'!J7</f>
        <v>0</v>
      </c>
    </row>
    <row r="83" spans="1:11" x14ac:dyDescent="0.25">
      <c r="A83" s="2056"/>
      <c r="B83" s="11">
        <v>55</v>
      </c>
      <c r="C83" s="1963" t="s">
        <v>1516</v>
      </c>
      <c r="D83" s="1963"/>
      <c r="E83" s="1963"/>
      <c r="F83" s="1963"/>
      <c r="G83" s="1963"/>
      <c r="H83" s="146">
        <f>'LUIK 4 - RISICO''S VGZ'!J8</f>
        <v>0</v>
      </c>
    </row>
    <row r="84" spans="1:11" x14ac:dyDescent="0.25">
      <c r="A84" s="2056"/>
      <c r="B84" s="11">
        <v>56</v>
      </c>
      <c r="C84" s="1963" t="s">
        <v>1517</v>
      </c>
      <c r="D84" s="1963"/>
      <c r="E84" s="1963"/>
      <c r="F84" s="1963"/>
      <c r="G84" s="1963"/>
      <c r="H84" s="146">
        <f>'LUIK 4 - RISICO''S VGZ'!J9</f>
        <v>0</v>
      </c>
    </row>
    <row r="85" spans="1:11" x14ac:dyDescent="0.25">
      <c r="A85" s="2056"/>
      <c r="B85" s="11">
        <v>57</v>
      </c>
      <c r="C85" s="1963" t="s">
        <v>1518</v>
      </c>
      <c r="D85" s="1963"/>
      <c r="E85" s="1963"/>
      <c r="F85" s="1963"/>
      <c r="G85" s="1963"/>
      <c r="H85" s="146">
        <f>'LUIK 4 - RISICO''S VGZ'!J10</f>
        <v>0</v>
      </c>
    </row>
    <row r="86" spans="1:11" x14ac:dyDescent="0.25">
      <c r="A86" s="2056"/>
      <c r="B86" s="11">
        <v>58</v>
      </c>
      <c r="C86" s="1963" t="s">
        <v>1519</v>
      </c>
      <c r="D86" s="1963"/>
      <c r="E86" s="1963"/>
      <c r="F86" s="1963"/>
      <c r="G86" s="1963"/>
      <c r="H86" s="146">
        <f>'LUIK 4 - RISICO''S VGZ'!J11</f>
        <v>0</v>
      </c>
    </row>
    <row r="87" spans="1:11" x14ac:dyDescent="0.25">
      <c r="A87" s="2056"/>
      <c r="B87" s="11">
        <v>59</v>
      </c>
      <c r="C87" s="1963" t="s">
        <v>1520</v>
      </c>
      <c r="D87" s="1963"/>
      <c r="E87" s="1963"/>
      <c r="F87" s="1963"/>
      <c r="G87" s="1963"/>
      <c r="H87" s="146">
        <f>'LUIK 4 - RISICO''S VGZ'!J12</f>
        <v>0</v>
      </c>
    </row>
    <row r="88" spans="1:11" x14ac:dyDescent="0.25">
      <c r="A88" s="2056"/>
      <c r="B88" s="11">
        <v>60</v>
      </c>
      <c r="C88" s="1963" t="s">
        <v>1521</v>
      </c>
      <c r="D88" s="1963"/>
      <c r="E88" s="1963"/>
      <c r="F88" s="1963"/>
      <c r="G88" s="1963"/>
      <c r="H88" s="146">
        <f>'LUIK 4 - RISICO''S VGZ'!J13</f>
        <v>0</v>
      </c>
    </row>
    <row r="89" spans="1:11" x14ac:dyDescent="0.25">
      <c r="A89" s="2056"/>
      <c r="B89" s="11">
        <v>61</v>
      </c>
      <c r="C89" s="1963" t="s">
        <v>1522</v>
      </c>
      <c r="D89" s="1963"/>
      <c r="E89" s="1963"/>
      <c r="F89" s="1963"/>
      <c r="G89" s="1963"/>
      <c r="H89" s="146">
        <f>'LUIK 4 - RISICO''S VGZ'!J14</f>
        <v>0</v>
      </c>
    </row>
    <row r="90" spans="1:11" x14ac:dyDescent="0.25">
      <c r="A90" s="2056"/>
      <c r="B90" s="11">
        <v>62</v>
      </c>
      <c r="C90" s="1963" t="s">
        <v>1763</v>
      </c>
      <c r="D90" s="1963"/>
      <c r="E90" s="1963"/>
      <c r="F90" s="1963"/>
      <c r="G90" s="1963"/>
      <c r="H90" s="146">
        <f>'LUIK 4 - RISICO''S VGZ'!J15</f>
        <v>0</v>
      </c>
    </row>
    <row r="91" spans="1:11" x14ac:dyDescent="0.25">
      <c r="A91" s="2056"/>
      <c r="B91" s="11">
        <v>63</v>
      </c>
      <c r="C91" s="1963" t="s">
        <v>1764</v>
      </c>
      <c r="D91" s="1963"/>
      <c r="E91" s="1963"/>
      <c r="F91" s="1963"/>
      <c r="G91" s="1963"/>
      <c r="H91" s="146">
        <f>'LUIK 4 - RISICO''S VGZ'!J16</f>
        <v>0</v>
      </c>
    </row>
    <row r="92" spans="1:11" x14ac:dyDescent="0.25">
      <c r="A92" s="2056"/>
      <c r="B92" s="11">
        <v>64</v>
      </c>
      <c r="C92" s="1963" t="s">
        <v>1765</v>
      </c>
      <c r="D92" s="1963"/>
      <c r="E92" s="1963"/>
      <c r="F92" s="1963"/>
      <c r="G92" s="1963"/>
      <c r="H92" s="146">
        <f>'LUIK 4 - RISICO''S VGZ'!J17</f>
        <v>0</v>
      </c>
    </row>
    <row r="93" spans="1:11" x14ac:dyDescent="0.25">
      <c r="A93" s="2057"/>
      <c r="B93" s="11">
        <v>65</v>
      </c>
      <c r="C93" s="1963" t="s">
        <v>1766</v>
      </c>
      <c r="D93" s="1963"/>
      <c r="E93" s="1963"/>
      <c r="F93" s="1963"/>
      <c r="G93" s="1963"/>
      <c r="H93" s="146">
        <f>'LUIK 4 - RISICO''S VGZ'!J18</f>
        <v>0</v>
      </c>
    </row>
    <row r="94" spans="1:11" x14ac:dyDescent="0.25">
      <c r="A94" s="2059" t="s">
        <v>1767</v>
      </c>
      <c r="B94" s="11">
        <v>66</v>
      </c>
      <c r="C94" s="1963" t="s">
        <v>1768</v>
      </c>
      <c r="D94" s="1963"/>
      <c r="E94" s="1963"/>
      <c r="F94" s="1963"/>
      <c r="G94" s="1963"/>
      <c r="H94" s="146">
        <f>'LUIK 4 - RISICO''S VGZ'!J19</f>
        <v>0</v>
      </c>
    </row>
    <row r="95" spans="1:11" x14ac:dyDescent="0.25">
      <c r="A95" s="2056"/>
      <c r="B95" s="11">
        <v>67</v>
      </c>
      <c r="C95" s="1963" t="s">
        <v>1518</v>
      </c>
      <c r="D95" s="1963"/>
      <c r="E95" s="1963"/>
      <c r="F95" s="1963"/>
      <c r="G95" s="1963"/>
      <c r="H95" s="146">
        <f>'LUIK 4 - RISICO''S VGZ'!J20</f>
        <v>0</v>
      </c>
    </row>
    <row r="96" spans="1:11" x14ac:dyDescent="0.25">
      <c r="A96" s="2056"/>
      <c r="B96" s="11">
        <v>68</v>
      </c>
      <c r="C96" s="1963" t="s">
        <v>1769</v>
      </c>
      <c r="D96" s="1963"/>
      <c r="E96" s="1963"/>
      <c r="F96" s="1963"/>
      <c r="G96" s="1963"/>
      <c r="H96" s="146">
        <f>'LUIK 4 - RISICO''S VGZ'!J21</f>
        <v>0</v>
      </c>
    </row>
    <row r="97" spans="1:8" ht="13" thickBot="1" x14ac:dyDescent="0.3">
      <c r="A97" s="2060"/>
      <c r="B97" s="19">
        <v>69</v>
      </c>
      <c r="C97" s="1986" t="s">
        <v>1770</v>
      </c>
      <c r="D97" s="1986"/>
      <c r="E97" s="1986"/>
      <c r="F97" s="1986"/>
      <c r="G97" s="1986"/>
      <c r="H97" s="147">
        <f>'LUIK 4 - RISICO''S VGZ'!J22</f>
        <v>0</v>
      </c>
    </row>
  </sheetData>
  <sheetProtection password="C534" sheet="1" objects="1" scenarios="1" selectLockedCells="1"/>
  <autoFilter ref="A81:H81" xr:uid="{00000000-0009-0000-0000-00001A000000}">
    <filterColumn colId="2" showButton="0"/>
    <filterColumn colId="3" showButton="0"/>
    <filterColumn colId="4" showButton="0"/>
    <filterColumn colId="5" showButton="0"/>
  </autoFilter>
  <mergeCells count="80">
    <mergeCell ref="J73:K73"/>
    <mergeCell ref="A94:A97"/>
    <mergeCell ref="C93:G93"/>
    <mergeCell ref="C92:G92"/>
    <mergeCell ref="C84:G84"/>
    <mergeCell ref="C83:G83"/>
    <mergeCell ref="C82:G82"/>
    <mergeCell ref="C87:G87"/>
    <mergeCell ref="C97:G97"/>
    <mergeCell ref="C91:G91"/>
    <mergeCell ref="C86:G86"/>
    <mergeCell ref="C85:G85"/>
    <mergeCell ref="C95:G95"/>
    <mergeCell ref="C94:G94"/>
    <mergeCell ref="C89:G89"/>
    <mergeCell ref="C96:G96"/>
    <mergeCell ref="A82:A93"/>
    <mergeCell ref="C90:G90"/>
    <mergeCell ref="C88:G88"/>
    <mergeCell ref="C62:G62"/>
    <mergeCell ref="C60:G60"/>
    <mergeCell ref="C51:G51"/>
    <mergeCell ref="C50:G50"/>
    <mergeCell ref="C49:G49"/>
    <mergeCell ref="C48:G48"/>
    <mergeCell ref="C47:G47"/>
    <mergeCell ref="A53:H53"/>
    <mergeCell ref="C81:G81"/>
    <mergeCell ref="A80:H80"/>
    <mergeCell ref="C56:G56"/>
    <mergeCell ref="C54:G54"/>
    <mergeCell ref="C64:G64"/>
    <mergeCell ref="C63:G63"/>
    <mergeCell ref="C61:G61"/>
    <mergeCell ref="A67:H67"/>
    <mergeCell ref="C58:G58"/>
    <mergeCell ref="C57:G57"/>
    <mergeCell ref="C55:G55"/>
    <mergeCell ref="C59:G59"/>
    <mergeCell ref="A41:H41"/>
    <mergeCell ref="A47:A48"/>
    <mergeCell ref="B47:B48"/>
    <mergeCell ref="B25:D25"/>
    <mergeCell ref="B26:D26"/>
    <mergeCell ref="A45:A46"/>
    <mergeCell ref="B45:B46"/>
    <mergeCell ref="D29:G29"/>
    <mergeCell ref="D30:G30"/>
    <mergeCell ref="D31:G31"/>
    <mergeCell ref="C42:G42"/>
    <mergeCell ref="C43:G43"/>
    <mergeCell ref="C46:G46"/>
    <mergeCell ref="C45:G45"/>
    <mergeCell ref="C44:G44"/>
    <mergeCell ref="B11:D11"/>
    <mergeCell ref="B12:D12"/>
    <mergeCell ref="B13:D13"/>
    <mergeCell ref="B14:D14"/>
    <mergeCell ref="D34:G34"/>
    <mergeCell ref="B15:D15"/>
    <mergeCell ref="B16:D16"/>
    <mergeCell ref="B17:D17"/>
    <mergeCell ref="B18:D18"/>
    <mergeCell ref="B21:D21"/>
    <mergeCell ref="B22:D22"/>
    <mergeCell ref="B23:D23"/>
    <mergeCell ref="B24:D24"/>
    <mergeCell ref="B8:D8"/>
    <mergeCell ref="B10:D10"/>
    <mergeCell ref="B9:D9"/>
    <mergeCell ref="D6:H6"/>
    <mergeCell ref="B6:C6"/>
    <mergeCell ref="B7:C7"/>
    <mergeCell ref="D7:H7"/>
    <mergeCell ref="F1:H1"/>
    <mergeCell ref="F3:H3"/>
    <mergeCell ref="B5:H5"/>
    <mergeCell ref="B1:D1"/>
    <mergeCell ref="B2:D2"/>
    <mergeCell ref="B3:D3"/>
  </mergeCells>
  <phoneticPr fontId="2" type="noConversion"/>
  <pageMargins left="0.63" right="0.65" top="0.49" bottom="0.74" header="0.32" footer="0.5"/>
  <pageSetup paperSize="9" orientation="landscape" horizontalDpi="4294967293" verticalDpi="2" r:id="rId1"/>
  <headerFooter alignWithMargins="0">
    <oddFooter>&amp;R&amp;D - &amp;P</oddFooter>
  </headerFooter>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13"/>
  <dimension ref="A1:J49"/>
  <sheetViews>
    <sheetView zoomScaleNormal="75" workbookViewId="0">
      <selection activeCell="A8" sqref="A8"/>
    </sheetView>
  </sheetViews>
  <sheetFormatPr defaultColWidth="9.1796875" defaultRowHeight="14" x14ac:dyDescent="0.25"/>
  <cols>
    <col min="1" max="1" width="68" style="172" customWidth="1"/>
    <col min="2" max="2" width="16.54296875" style="172" customWidth="1"/>
    <col min="3" max="3" width="2.26953125" style="172" customWidth="1"/>
    <col min="4" max="4" width="17.453125" style="172" customWidth="1"/>
    <col min="5" max="6" width="9.1796875" style="172"/>
    <col min="7" max="7" width="55.54296875" style="172" bestFit="1" customWidth="1"/>
    <col min="8" max="8" width="7.26953125" style="172" bestFit="1" customWidth="1"/>
    <col min="9" max="9" width="2.81640625" style="172" customWidth="1"/>
    <col min="10" max="16" width="9.1796875" style="172"/>
    <col min="17" max="17" width="18.26953125" style="172" bestFit="1" customWidth="1"/>
    <col min="18" max="18" width="42.26953125" style="172" bestFit="1" customWidth="1"/>
    <col min="19" max="19" width="40" style="172" bestFit="1" customWidth="1"/>
    <col min="20" max="20" width="2.26953125" style="172" bestFit="1" customWidth="1"/>
    <col min="21" max="16384" width="9.1796875" style="172"/>
  </cols>
  <sheetData>
    <row r="1" spans="1:10" x14ac:dyDescent="0.25">
      <c r="A1" s="171" t="s">
        <v>214</v>
      </c>
      <c r="B1" s="175"/>
      <c r="D1" s="213"/>
    </row>
    <row r="2" spans="1:10" x14ac:dyDescent="0.25">
      <c r="A2" s="173"/>
    </row>
    <row r="3" spans="1:10" ht="14.5" x14ac:dyDescent="0.25">
      <c r="A3" s="171" t="s">
        <v>215</v>
      </c>
      <c r="B3" s="175"/>
      <c r="D3" s="213"/>
      <c r="G3" s="208" t="s">
        <v>1959</v>
      </c>
      <c r="H3" s="208" t="str">
        <f>'LUIK 2 - RISICOVRAAG'!E10</f>
        <v>NEEN</v>
      </c>
      <c r="J3" s="213"/>
    </row>
    <row r="4" spans="1:10" ht="14.5" x14ac:dyDescent="0.25">
      <c r="A4" s="171" t="s">
        <v>216</v>
      </c>
      <c r="B4" s="174" t="e">
        <f>RESULTATEN!E25</f>
        <v>#DIV/0!</v>
      </c>
      <c r="D4" s="213"/>
      <c r="G4" s="208" t="s">
        <v>1960</v>
      </c>
      <c r="H4" s="208" t="str">
        <f>'LUIK 4 - RISICO''S VGZ'!D29</f>
        <v>NEEN</v>
      </c>
      <c r="J4" s="213"/>
    </row>
    <row r="5" spans="1:10" ht="14.5" x14ac:dyDescent="0.25">
      <c r="A5" s="171" t="s">
        <v>218</v>
      </c>
      <c r="B5" s="174" t="e">
        <f>RESULTATEN!E26</f>
        <v>#DIV/0!</v>
      </c>
      <c r="D5" s="213"/>
      <c r="G5" s="208" t="s">
        <v>1961</v>
      </c>
      <c r="H5" s="208" t="str">
        <f>'LUIK 4 - RISICO''S VGZ'!D30</f>
        <v>NEEN</v>
      </c>
      <c r="J5" s="213"/>
    </row>
    <row r="6" spans="1:10" x14ac:dyDescent="0.25">
      <c r="A6" s="171" t="s">
        <v>217</v>
      </c>
      <c r="B6" s="171" t="e">
        <f>RESULTATEN!E22</f>
        <v>#DIV/0!</v>
      </c>
      <c r="D6" s="213"/>
    </row>
    <row r="7" spans="1:10" ht="14.5" x14ac:dyDescent="0.25">
      <c r="A7" s="170"/>
      <c r="B7" s="170"/>
      <c r="G7" s="208" t="s">
        <v>1962</v>
      </c>
      <c r="H7" s="208" t="str">
        <f>INTERPRETATIE!G37</f>
        <v>NEEN</v>
      </c>
      <c r="J7" s="213"/>
    </row>
    <row r="8" spans="1:10" ht="14.5" x14ac:dyDescent="0.25">
      <c r="A8" s="204">
        <f>'LUIK 1 - AANVRAAG'!G5</f>
        <v>0</v>
      </c>
      <c r="B8" s="205">
        <f>'LUIK 1 - AANVRAAG'!G4</f>
        <v>0</v>
      </c>
      <c r="D8" s="213"/>
      <c r="G8" s="208" t="s">
        <v>1963</v>
      </c>
      <c r="H8" s="208" t="str">
        <f>INTERPRETATIE!G74</f>
        <v>JA</v>
      </c>
      <c r="J8" s="213"/>
    </row>
    <row r="9" spans="1:10" ht="14.5" x14ac:dyDescent="0.25">
      <c r="A9" s="204"/>
      <c r="B9" s="204"/>
      <c r="G9" s="208" t="s">
        <v>1964</v>
      </c>
      <c r="H9" s="208" t="str">
        <f>INTERPRETATIE!G79</f>
        <v>NEEN</v>
      </c>
      <c r="J9" s="213"/>
    </row>
    <row r="11" spans="1:10" x14ac:dyDescent="0.25">
      <c r="A11" s="171" t="s">
        <v>1965</v>
      </c>
      <c r="B11" s="214">
        <f>'LUIK 1 - AANVRAAG'!G4</f>
        <v>0</v>
      </c>
      <c r="D11" s="213"/>
    </row>
    <row r="12" spans="1:10" x14ac:dyDescent="0.25">
      <c r="A12" s="171" t="s">
        <v>208</v>
      </c>
      <c r="B12" s="171" t="e">
        <f>'LUIK 1 - AANVRAAG'!K21/('LUIK 1 - AANVRAAG'!I20/100)</f>
        <v>#DIV/0!</v>
      </c>
      <c r="D12" s="213"/>
    </row>
    <row r="13" spans="1:10" x14ac:dyDescent="0.25">
      <c r="A13" s="210" t="s">
        <v>209</v>
      </c>
      <c r="B13" s="210">
        <f>'LUIK 1 - AANVRAAG'!K8</f>
        <v>0</v>
      </c>
      <c r="C13" s="173"/>
      <c r="D13" s="217"/>
    </row>
    <row r="14" spans="1:10" x14ac:dyDescent="0.25">
      <c r="A14" s="210" t="s">
        <v>1966</v>
      </c>
      <c r="B14" s="210">
        <f>'LUIK 1 - AANVRAAG'!K21</f>
        <v>0</v>
      </c>
      <c r="C14" s="173"/>
      <c r="D14" s="217"/>
    </row>
    <row r="15" spans="1:10" x14ac:dyDescent="0.25">
      <c r="A15" s="210" t="s">
        <v>1449</v>
      </c>
      <c r="B15" s="210">
        <f>'LUIK3 + SCORE'!J47</f>
        <v>0</v>
      </c>
      <c r="C15" s="173"/>
      <c r="D15" s="217"/>
    </row>
    <row r="16" spans="1:10" x14ac:dyDescent="0.25">
      <c r="A16" s="209"/>
      <c r="B16" s="209"/>
      <c r="C16" s="173"/>
      <c r="D16" s="173"/>
      <c r="G16" s="172" t="s">
        <v>2039</v>
      </c>
    </row>
    <row r="17" spans="1:7" x14ac:dyDescent="0.25">
      <c r="A17" s="210" t="s">
        <v>1967</v>
      </c>
      <c r="B17" s="210" t="str">
        <f>'LUIK 2 - RISICOVRAAG'!E10</f>
        <v>NEEN</v>
      </c>
      <c r="C17" s="173"/>
      <c r="D17" s="217"/>
    </row>
    <row r="18" spans="1:7" x14ac:dyDescent="0.25">
      <c r="A18" s="210" t="s">
        <v>1968</v>
      </c>
      <c r="B18" s="210" t="str">
        <f>'LUIK 4 - RISICO''S VGZ'!D29</f>
        <v>NEEN</v>
      </c>
      <c r="C18" s="173"/>
      <c r="D18" s="217"/>
    </row>
    <row r="19" spans="1:7" x14ac:dyDescent="0.25">
      <c r="A19" s="210" t="s">
        <v>1969</v>
      </c>
      <c r="B19" s="210" t="str">
        <f>'LUIK 4 - RISICO''S VGZ'!D30</f>
        <v>NEEN</v>
      </c>
      <c r="C19" s="173"/>
      <c r="D19" s="217"/>
    </row>
    <row r="20" spans="1:7" x14ac:dyDescent="0.25">
      <c r="A20" s="170"/>
      <c r="B20" s="170"/>
    </row>
    <row r="21" spans="1:7" x14ac:dyDescent="0.25">
      <c r="A21" s="212" t="s">
        <v>460</v>
      </c>
      <c r="B21" s="215">
        <f>RESULTATEN!E14</f>
        <v>0</v>
      </c>
      <c r="D21" s="213"/>
    </row>
    <row r="22" spans="1:7" ht="28" x14ac:dyDescent="0.25">
      <c r="A22" s="212" t="s">
        <v>2138</v>
      </c>
      <c r="B22" s="215">
        <f>RESULTATEN!E15</f>
        <v>0</v>
      </c>
      <c r="D22" s="213"/>
    </row>
    <row r="23" spans="1:7" x14ac:dyDescent="0.25">
      <c r="A23" s="212" t="s">
        <v>2117</v>
      </c>
      <c r="B23" s="215">
        <f>RESULTATEN!E16</f>
        <v>0</v>
      </c>
      <c r="D23" s="213"/>
    </row>
    <row r="24" spans="1:7" x14ac:dyDescent="0.25">
      <c r="A24" s="212" t="s">
        <v>1970</v>
      </c>
      <c r="B24" s="215">
        <f>INTERPRETATIE!G65</f>
        <v>0</v>
      </c>
      <c r="D24" s="213"/>
    </row>
    <row r="25" spans="1:7" ht="28" x14ac:dyDescent="0.25">
      <c r="A25" s="212" t="s">
        <v>2114</v>
      </c>
      <c r="B25" s="215">
        <f>IF(B24&gt;1,INTERPRETATIE!G66,IF(B24&gt;0,1,0))</f>
        <v>0</v>
      </c>
      <c r="D25" s="213"/>
      <c r="G25" s="903" t="s">
        <v>835</v>
      </c>
    </row>
    <row r="26" spans="1:7" x14ac:dyDescent="0.25">
      <c r="A26" s="211"/>
      <c r="B26" s="170"/>
    </row>
    <row r="27" spans="1:7" s="173" customFormat="1" x14ac:dyDescent="0.25">
      <c r="A27" s="173" t="s">
        <v>1971</v>
      </c>
      <c r="D27" s="217"/>
    </row>
    <row r="28" spans="1:7" x14ac:dyDescent="0.25">
      <c r="A28" s="171" t="s">
        <v>1972</v>
      </c>
      <c r="B28" s="171">
        <f>RESULTATEN!$E$21</f>
        <v>0</v>
      </c>
      <c r="D28" s="213"/>
    </row>
    <row r="29" spans="1:7" x14ac:dyDescent="0.25">
      <c r="A29" s="2061" t="s">
        <v>1974</v>
      </c>
      <c r="B29" s="2061"/>
      <c r="D29" s="213"/>
    </row>
    <row r="30" spans="1:7" x14ac:dyDescent="0.25">
      <c r="A30" s="171" t="s">
        <v>1973</v>
      </c>
      <c r="B30" s="215">
        <f>RESULTATEN!E23</f>
        <v>0</v>
      </c>
      <c r="D30" s="213"/>
    </row>
    <row r="31" spans="1:7" ht="28" x14ac:dyDescent="0.25">
      <c r="A31" s="218" t="s">
        <v>398</v>
      </c>
      <c r="B31" s="220">
        <f>RESULTATEN!E24</f>
        <v>0</v>
      </c>
      <c r="D31" s="219"/>
    </row>
    <row r="32" spans="1:7" ht="30" customHeight="1" x14ac:dyDescent="0.25">
      <c r="A32" s="2062" t="s">
        <v>1817</v>
      </c>
      <c r="B32" s="2063"/>
    </row>
    <row r="33" spans="1:4" ht="24.75" customHeight="1" x14ac:dyDescent="0.25"/>
    <row r="34" spans="1:4" ht="28" x14ac:dyDescent="0.25">
      <c r="A34" s="171" t="s">
        <v>399</v>
      </c>
      <c r="B34" s="175"/>
    </row>
    <row r="35" spans="1:4" ht="28" x14ac:dyDescent="0.25">
      <c r="A35" s="171" t="s">
        <v>400</v>
      </c>
      <c r="B35" s="175"/>
    </row>
    <row r="36" spans="1:4" ht="28" x14ac:dyDescent="0.25">
      <c r="A36" s="171" t="s">
        <v>201</v>
      </c>
      <c r="B36" s="175"/>
    </row>
    <row r="38" spans="1:4" x14ac:dyDescent="0.25">
      <c r="A38" s="171" t="s">
        <v>202</v>
      </c>
      <c r="B38" s="216">
        <f>INTERPRETATIE!G67</f>
        <v>0</v>
      </c>
      <c r="D38" s="213"/>
    </row>
    <row r="40" spans="1:4" x14ac:dyDescent="0.25">
      <c r="A40" s="171" t="s">
        <v>845</v>
      </c>
      <c r="B40" s="175"/>
    </row>
    <row r="42" spans="1:4" x14ac:dyDescent="0.25">
      <c r="A42" s="171" t="s">
        <v>1952</v>
      </c>
      <c r="B42" s="466">
        <f>IF(RESULTATEN!F2=0,0,RESULTATEN!E22)</f>
        <v>0</v>
      </c>
      <c r="D42" s="213"/>
    </row>
    <row r="43" spans="1:4" x14ac:dyDescent="0.25">
      <c r="A43" s="171" t="s">
        <v>203</v>
      </c>
      <c r="B43" s="466">
        <f>IF(RESULTATEN!F2=0,0,RESULTATEN!E25)</f>
        <v>0</v>
      </c>
      <c r="D43" s="213"/>
    </row>
    <row r="44" spans="1:4" x14ac:dyDescent="0.25">
      <c r="A44" s="171" t="s">
        <v>204</v>
      </c>
      <c r="B44" s="466">
        <f>IF(RESULTATEN!F2=0,0,RESULTATEN!E26)</f>
        <v>0</v>
      </c>
      <c r="D44" s="213"/>
    </row>
    <row r="46" spans="1:4" ht="28" x14ac:dyDescent="0.25">
      <c r="A46" s="171" t="str">
        <f>'LUIK3 + SCORE'!D101</f>
        <v>Werd het aanvraagformulier met relevante informatie overgemaakt aan het HC100 (DOC 100)</v>
      </c>
      <c r="B46" s="171" t="str">
        <f>IF('LUIK3 + SCORE'!I101=0,"JA",IF('LUIK3 + SCORE'!I101="niet van toepassing","niet van toepassing","NEEN"))</f>
        <v>NEEN</v>
      </c>
      <c r="D46" s="213"/>
    </row>
    <row r="47" spans="1:4" x14ac:dyDescent="0.25">
      <c r="A47" s="171" t="str">
        <f>'LUIK3 + SCORE'!D102</f>
        <v>Werden de plannen van het terrein aan het HC100 overgemaakt</v>
      </c>
      <c r="B47" s="171" t="str">
        <f>IF('LUIK3 + SCORE'!I102=0,"JA",IF('LUIK3 + SCORE'!I102="niet van toepassing","niet van toepassing","NEEN"))</f>
        <v>JA</v>
      </c>
      <c r="D47" s="213"/>
    </row>
    <row r="49" spans="1:2" ht="28" x14ac:dyDescent="0.25">
      <c r="A49" s="171" t="s">
        <v>207</v>
      </c>
      <c r="B49" s="175"/>
    </row>
  </sheetData>
  <sheetProtection password="C534" sheet="1" objects="1" scenarios="1" autoFilter="0"/>
  <mergeCells count="2">
    <mergeCell ref="A29:B29"/>
    <mergeCell ref="A32:B32"/>
  </mergeCells>
  <phoneticPr fontId="2" type="noConversion"/>
  <pageMargins left="0.75" right="0.75" top="0.37" bottom="0.3" header="0.25" footer="0.27"/>
  <pageSetup paperSize="9" scale="95" orientation="portrait" verticalDpi="2"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14"/>
  <dimension ref="A1:O52"/>
  <sheetViews>
    <sheetView workbookViewId="0">
      <selection activeCell="B2" sqref="B2"/>
    </sheetView>
  </sheetViews>
  <sheetFormatPr defaultColWidth="9.1796875" defaultRowHeight="14" x14ac:dyDescent="0.3"/>
  <cols>
    <col min="1" max="1" width="41" style="222" customWidth="1"/>
    <col min="2" max="2" width="36.26953125" style="222" customWidth="1"/>
    <col min="3" max="3" width="17.54296875" style="222" customWidth="1"/>
    <col min="4" max="4" width="23.453125" style="222" customWidth="1"/>
    <col min="5" max="5" width="24" style="222" customWidth="1"/>
    <col min="6" max="6" width="22.453125" style="222" customWidth="1"/>
    <col min="7" max="7" width="26" style="222" customWidth="1"/>
    <col min="8" max="8" width="9.1796875" style="222"/>
    <col min="9" max="9" width="12.453125" style="222" customWidth="1"/>
    <col min="10" max="10" width="26.453125" style="222" customWidth="1"/>
    <col min="11" max="11" width="22.453125" style="222" customWidth="1"/>
    <col min="12" max="12" width="30.26953125" style="222" customWidth="1"/>
    <col min="13" max="13" width="16.54296875" style="222" bestFit="1" customWidth="1"/>
    <col min="14" max="14" width="23" style="222" customWidth="1"/>
    <col min="15" max="16384" width="9.1796875" style="222"/>
  </cols>
  <sheetData>
    <row r="1" spans="1:15" s="221" customFormat="1" x14ac:dyDescent="0.3">
      <c r="A1" s="279" t="s">
        <v>1823</v>
      </c>
      <c r="B1" s="281" t="s">
        <v>1824</v>
      </c>
      <c r="C1" s="279" t="s">
        <v>1525</v>
      </c>
      <c r="D1" s="279" t="s">
        <v>1528</v>
      </c>
      <c r="E1" s="279" t="s">
        <v>1529</v>
      </c>
      <c r="F1" s="281" t="s">
        <v>1526</v>
      </c>
      <c r="G1" s="279" t="s">
        <v>1527</v>
      </c>
      <c r="H1" s="279" t="s">
        <v>1536</v>
      </c>
      <c r="I1" s="1098" t="s">
        <v>1530</v>
      </c>
      <c r="J1" s="279" t="s">
        <v>1531</v>
      </c>
      <c r="K1" s="281" t="s">
        <v>1538</v>
      </c>
      <c r="L1" s="281" t="s">
        <v>1539</v>
      </c>
      <c r="M1" s="221" t="s">
        <v>2084</v>
      </c>
      <c r="N1" s="221" t="s">
        <v>283</v>
      </c>
    </row>
    <row r="2" spans="1:15" s="221" customFormat="1" ht="38.25" customHeight="1" x14ac:dyDescent="0.3">
      <c r="A2" s="280" t="s">
        <v>1540</v>
      </c>
      <c r="B2" s="282" t="s">
        <v>1540</v>
      </c>
      <c r="C2" s="280" t="s">
        <v>1540</v>
      </c>
      <c r="D2" s="280" t="s">
        <v>1540</v>
      </c>
      <c r="E2" s="280" t="s">
        <v>1540</v>
      </c>
      <c r="F2" s="282" t="s">
        <v>1540</v>
      </c>
      <c r="G2" s="280" t="s">
        <v>1540</v>
      </c>
      <c r="H2" s="280" t="s">
        <v>1540</v>
      </c>
      <c r="I2" s="1099" t="s">
        <v>1537</v>
      </c>
      <c r="J2" s="280" t="s">
        <v>1540</v>
      </c>
      <c r="K2" s="282" t="s">
        <v>1540</v>
      </c>
      <c r="L2" s="282" t="s">
        <v>1540</v>
      </c>
      <c r="M2" s="1127" t="s">
        <v>1540</v>
      </c>
      <c r="N2" s="280" t="s">
        <v>1540</v>
      </c>
      <c r="O2" s="222"/>
    </row>
    <row r="3" spans="1:15" ht="29.25" customHeight="1" x14ac:dyDescent="0.3">
      <c r="A3" s="280" t="s">
        <v>5</v>
      </c>
      <c r="B3" s="285" t="s">
        <v>1783</v>
      </c>
      <c r="C3" s="280" t="s">
        <v>60</v>
      </c>
      <c r="D3" s="187" t="s">
        <v>759</v>
      </c>
      <c r="E3" s="187" t="s">
        <v>759</v>
      </c>
      <c r="F3" s="283" t="s">
        <v>1917</v>
      </c>
      <c r="G3" s="187" t="s">
        <v>759</v>
      </c>
      <c r="H3" s="187" t="s">
        <v>759</v>
      </c>
      <c r="I3" s="1100" t="s">
        <v>1532</v>
      </c>
      <c r="J3" s="187" t="s">
        <v>290</v>
      </c>
      <c r="K3" s="283" t="s">
        <v>1546</v>
      </c>
      <c r="L3" s="283" t="s">
        <v>2199</v>
      </c>
      <c r="M3" s="1128" t="s">
        <v>1787</v>
      </c>
      <c r="N3" s="280" t="s">
        <v>252</v>
      </c>
    </row>
    <row r="4" spans="1:15" ht="63.75" customHeight="1" x14ac:dyDescent="0.3">
      <c r="A4" s="280" t="s">
        <v>1</v>
      </c>
      <c r="B4" s="285" t="s">
        <v>1784</v>
      </c>
      <c r="C4" s="284" t="s">
        <v>1848</v>
      </c>
      <c r="D4" s="187" t="s">
        <v>1909</v>
      </c>
      <c r="E4" s="187" t="s">
        <v>1909</v>
      </c>
      <c r="F4" s="283" t="s">
        <v>226</v>
      </c>
      <c r="G4" s="187" t="s">
        <v>2201</v>
      </c>
      <c r="H4" s="187" t="s">
        <v>231</v>
      </c>
      <c r="I4" s="1100" t="s">
        <v>1533</v>
      </c>
      <c r="J4" s="187" t="s">
        <v>286</v>
      </c>
      <c r="K4" s="283" t="s">
        <v>1547</v>
      </c>
      <c r="L4" s="283" t="s">
        <v>404</v>
      </c>
      <c r="M4" s="1129" t="s">
        <v>1788</v>
      </c>
      <c r="N4" s="280" t="s">
        <v>284</v>
      </c>
    </row>
    <row r="5" spans="1:15" ht="87.5" x14ac:dyDescent="0.3">
      <c r="A5" s="280" t="s">
        <v>2</v>
      </c>
      <c r="B5" s="285" t="s">
        <v>1785</v>
      </c>
      <c r="C5" s="284" t="s">
        <v>1849</v>
      </c>
      <c r="D5" s="187" t="s">
        <v>1910</v>
      </c>
      <c r="E5" s="187" t="s">
        <v>1910</v>
      </c>
      <c r="G5" s="187" t="s">
        <v>2200</v>
      </c>
      <c r="H5" s="187" t="s">
        <v>232</v>
      </c>
      <c r="I5" s="1100" t="s">
        <v>1534</v>
      </c>
      <c r="J5" s="187" t="s">
        <v>287</v>
      </c>
      <c r="K5" s="283" t="s">
        <v>1548</v>
      </c>
      <c r="M5" s="1129" t="s">
        <v>1789</v>
      </c>
      <c r="N5" s="280" t="s">
        <v>285</v>
      </c>
    </row>
    <row r="6" spans="1:15" ht="35.25" customHeight="1" x14ac:dyDescent="0.3">
      <c r="A6" s="280" t="s">
        <v>1115</v>
      </c>
      <c r="C6" s="284" t="s">
        <v>1178</v>
      </c>
      <c r="D6" s="187" t="s">
        <v>1911</v>
      </c>
      <c r="E6" s="187" t="s">
        <v>1911</v>
      </c>
      <c r="I6" s="1100" t="s">
        <v>1535</v>
      </c>
      <c r="J6" s="187" t="s">
        <v>292</v>
      </c>
      <c r="N6" s="280" t="s">
        <v>253</v>
      </c>
    </row>
    <row r="7" spans="1:15" ht="37.5" x14ac:dyDescent="0.3">
      <c r="A7" s="280" t="s">
        <v>3</v>
      </c>
      <c r="C7" s="284" t="s">
        <v>1180</v>
      </c>
      <c r="J7" s="280" t="s">
        <v>293</v>
      </c>
      <c r="N7" s="280" t="s">
        <v>250</v>
      </c>
    </row>
    <row r="8" spans="1:15" ht="37.5" x14ac:dyDescent="0.3">
      <c r="A8" s="280" t="s">
        <v>4</v>
      </c>
      <c r="C8" s="284" t="s">
        <v>1181</v>
      </c>
      <c r="J8" s="187" t="s">
        <v>289</v>
      </c>
      <c r="N8" s="280" t="s">
        <v>251</v>
      </c>
    </row>
    <row r="9" spans="1:15" x14ac:dyDescent="0.3">
      <c r="A9" s="280" t="s">
        <v>6</v>
      </c>
      <c r="J9" s="187" t="s">
        <v>291</v>
      </c>
    </row>
    <row r="10" spans="1:15" x14ac:dyDescent="0.3">
      <c r="A10" s="280" t="s">
        <v>7</v>
      </c>
      <c r="J10" s="187" t="s">
        <v>288</v>
      </c>
    </row>
    <row r="11" spans="1:15" x14ac:dyDescent="0.3">
      <c r="A11" s="280" t="s">
        <v>8</v>
      </c>
      <c r="C11" s="278"/>
    </row>
    <row r="12" spans="1:15" x14ac:dyDescent="0.3">
      <c r="A12" s="280" t="s">
        <v>9</v>
      </c>
      <c r="C12" s="278"/>
    </row>
    <row r="13" spans="1:15" x14ac:dyDescent="0.3">
      <c r="A13" s="280" t="s">
        <v>2175</v>
      </c>
      <c r="C13" s="278"/>
    </row>
    <row r="14" spans="1:15" ht="28" x14ac:dyDescent="0.3">
      <c r="A14" s="280" t="s">
        <v>10</v>
      </c>
    </row>
    <row r="15" spans="1:15" x14ac:dyDescent="0.3">
      <c r="A15" s="280" t="s">
        <v>11</v>
      </c>
    </row>
    <row r="16" spans="1:15" x14ac:dyDescent="0.3">
      <c r="A16" s="280" t="s">
        <v>1983</v>
      </c>
    </row>
    <row r="17" spans="1:1" x14ac:dyDescent="0.3">
      <c r="A17" s="280" t="s">
        <v>2173</v>
      </c>
    </row>
    <row r="18" spans="1:1" x14ac:dyDescent="0.3">
      <c r="A18" s="280" t="s">
        <v>12</v>
      </c>
    </row>
    <row r="19" spans="1:1" x14ac:dyDescent="0.3">
      <c r="A19" s="280" t="s">
        <v>13</v>
      </c>
    </row>
    <row r="20" spans="1:1" x14ac:dyDescent="0.3">
      <c r="A20" s="280" t="s">
        <v>14</v>
      </c>
    </row>
    <row r="21" spans="1:1" x14ac:dyDescent="0.3">
      <c r="A21" s="280" t="s">
        <v>15</v>
      </c>
    </row>
    <row r="22" spans="1:1" x14ac:dyDescent="0.3">
      <c r="A22" s="280" t="s">
        <v>405</v>
      </c>
    </row>
    <row r="23" spans="1:1" x14ac:dyDescent="0.3">
      <c r="A23" s="280" t="s">
        <v>2160</v>
      </c>
    </row>
    <row r="24" spans="1:1" x14ac:dyDescent="0.3">
      <c r="A24" s="280" t="s">
        <v>2161</v>
      </c>
    </row>
    <row r="25" spans="1:1" ht="28" x14ac:dyDescent="0.3">
      <c r="A25" s="280" t="s">
        <v>2162</v>
      </c>
    </row>
    <row r="26" spans="1:1" x14ac:dyDescent="0.3">
      <c r="A26" s="280" t="s">
        <v>2163</v>
      </c>
    </row>
    <row r="27" spans="1:1" x14ac:dyDescent="0.3">
      <c r="A27" s="280" t="s">
        <v>2164</v>
      </c>
    </row>
    <row r="28" spans="1:1" x14ac:dyDescent="0.3">
      <c r="A28" s="280" t="s">
        <v>1114</v>
      </c>
    </row>
    <row r="29" spans="1:1" x14ac:dyDescent="0.3">
      <c r="A29" s="280" t="s">
        <v>2165</v>
      </c>
    </row>
    <row r="30" spans="1:1" x14ac:dyDescent="0.3">
      <c r="A30" s="280" t="s">
        <v>2166</v>
      </c>
    </row>
    <row r="31" spans="1:1" ht="42" x14ac:dyDescent="0.3">
      <c r="A31" s="280" t="s">
        <v>2167</v>
      </c>
    </row>
    <row r="32" spans="1:1" x14ac:dyDescent="0.3">
      <c r="A32" s="280" t="s">
        <v>2168</v>
      </c>
    </row>
    <row r="33" spans="1:1" x14ac:dyDescent="0.3">
      <c r="A33" s="280" t="s">
        <v>2169</v>
      </c>
    </row>
    <row r="34" spans="1:1" x14ac:dyDescent="0.3">
      <c r="A34" s="280" t="s">
        <v>2170</v>
      </c>
    </row>
    <row r="35" spans="1:1" x14ac:dyDescent="0.3">
      <c r="A35" s="280" t="s">
        <v>2171</v>
      </c>
    </row>
    <row r="36" spans="1:1" x14ac:dyDescent="0.3">
      <c r="A36" s="280" t="s">
        <v>2172</v>
      </c>
    </row>
    <row r="37" spans="1:1" x14ac:dyDescent="0.3">
      <c r="A37" s="280" t="s">
        <v>2176</v>
      </c>
    </row>
    <row r="38" spans="1:1" x14ac:dyDescent="0.3">
      <c r="A38" s="280" t="s">
        <v>2177</v>
      </c>
    </row>
    <row r="39" spans="1:1" x14ac:dyDescent="0.3">
      <c r="A39" s="280" t="s">
        <v>2197</v>
      </c>
    </row>
    <row r="40" spans="1:1" x14ac:dyDescent="0.3">
      <c r="A40" s="280" t="s">
        <v>2198</v>
      </c>
    </row>
    <row r="41" spans="1:1" x14ac:dyDescent="0.3">
      <c r="A41" s="280" t="s">
        <v>2174</v>
      </c>
    </row>
    <row r="43" spans="1:1" x14ac:dyDescent="0.3">
      <c r="A43" s="223"/>
    </row>
    <row r="48" spans="1:1" x14ac:dyDescent="0.3">
      <c r="A48" s="222" t="s">
        <v>1541</v>
      </c>
    </row>
    <row r="49" spans="1:1" x14ac:dyDescent="0.3">
      <c r="A49" s="222" t="s">
        <v>1542</v>
      </c>
    </row>
    <row r="50" spans="1:1" x14ac:dyDescent="0.3">
      <c r="A50" s="222" t="s">
        <v>1543</v>
      </c>
    </row>
    <row r="51" spans="1:1" x14ac:dyDescent="0.3">
      <c r="A51" s="222" t="s">
        <v>1545</v>
      </c>
    </row>
    <row r="52" spans="1:1" x14ac:dyDescent="0.3">
      <c r="A52" s="222" t="s">
        <v>1544</v>
      </c>
    </row>
  </sheetData>
  <sheetProtection password="C534" sheet="1" objects="1" scenarios="1"/>
  <phoneticPr fontId="2" type="noConversion"/>
  <pageMargins left="0.51" right="0.42" top="0.74" bottom="0.8" header="0.5" footer="0.5"/>
  <pageSetup paperSize="9" orientation="portrait" verticalDpi="2" r:id="rId1"/>
  <headerFooter alignWithMargins="0">
    <oddHeader>&amp;L&amp;"Arial,Bold Italic"&amp;8PRIMA - BIJLAGE BIJ LUIK 1&amp;C&amp;"Arial,Bold Italic"&amp;8LIJST MET MANIFESTATIES</oddHeader>
    <oddFooter>&amp;R&amp;P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tabColor indexed="10"/>
  </sheetPr>
  <dimension ref="A1:AC52"/>
  <sheetViews>
    <sheetView zoomScale="85" zoomScaleNormal="85" workbookViewId="0">
      <selection activeCell="D8" sqref="D8"/>
    </sheetView>
  </sheetViews>
  <sheetFormatPr defaultColWidth="9.1796875" defaultRowHeight="12.5" x14ac:dyDescent="0.25"/>
  <cols>
    <col min="1" max="1" width="4.1796875" style="37" bestFit="1" customWidth="1"/>
    <col min="2" max="2" width="94.453125" style="37" customWidth="1"/>
    <col min="3" max="3" width="8.26953125" style="37" bestFit="1" customWidth="1"/>
    <col min="4" max="4" width="19.1796875" style="37" customWidth="1"/>
    <col min="5" max="5" width="9.26953125" style="37" bestFit="1" customWidth="1"/>
    <col min="6" max="6" width="2.453125" style="37" customWidth="1"/>
    <col min="7" max="7" width="19.54296875" style="37" bestFit="1" customWidth="1"/>
    <col min="8" max="8" width="51.54296875" style="37" customWidth="1"/>
    <col min="9" max="11" width="9.1796875" style="37"/>
    <col min="12" max="29" width="9.1796875" style="303"/>
    <col min="30" max="16384" width="9.1796875" style="37"/>
  </cols>
  <sheetData>
    <row r="1" spans="1:11" ht="33.75" customHeight="1" thickBot="1" x14ac:dyDescent="0.3">
      <c r="A1" s="1376" t="s">
        <v>1510</v>
      </c>
      <c r="B1" s="1377"/>
      <c r="C1" s="1377"/>
      <c r="D1" s="1377"/>
      <c r="E1" s="1378"/>
      <c r="F1" s="303"/>
      <c r="G1" s="422" t="str">
        <f>'LUIK 1 - AANVRAAG'!M3</f>
        <v>VERSIE 25 - 2011 02 18</v>
      </c>
      <c r="H1" s="303"/>
      <c r="I1" s="303"/>
      <c r="J1" s="303"/>
      <c r="K1" s="303"/>
    </row>
    <row r="2" spans="1:11" ht="13" thickBot="1" x14ac:dyDescent="0.3">
      <c r="A2" s="303"/>
      <c r="B2" s="303"/>
      <c r="C2" s="303"/>
      <c r="D2" s="303"/>
      <c r="E2" s="303"/>
      <c r="F2" s="303"/>
      <c r="G2" s="303"/>
      <c r="H2" s="303"/>
      <c r="I2" s="303"/>
      <c r="J2" s="303"/>
      <c r="K2" s="303"/>
    </row>
    <row r="3" spans="1:11" ht="16" thickBot="1" x14ac:dyDescent="0.3">
      <c r="A3" s="1379" t="s">
        <v>1692</v>
      </c>
      <c r="B3" s="1380"/>
      <c r="C3" s="407"/>
      <c r="D3" s="1381" t="s">
        <v>166</v>
      </c>
      <c r="E3" s="1382"/>
      <c r="F3" s="303"/>
      <c r="G3" s="755"/>
      <c r="H3" s="755"/>
      <c r="I3" s="303"/>
      <c r="J3" s="303"/>
      <c r="K3" s="303"/>
    </row>
    <row r="4" spans="1:11" ht="27" customHeight="1" x14ac:dyDescent="0.25">
      <c r="A4" s="412" t="s">
        <v>1694</v>
      </c>
      <c r="B4" s="1383" t="s">
        <v>44</v>
      </c>
      <c r="C4" s="1383"/>
      <c r="D4" s="1130">
        <v>0</v>
      </c>
      <c r="E4" s="414">
        <f>IF(D4&gt;8,1,0)</f>
        <v>0</v>
      </c>
      <c r="F4" s="303"/>
      <c r="G4" s="1384" t="s">
        <v>1836</v>
      </c>
      <c r="H4" s="1384"/>
      <c r="I4" s="901"/>
      <c r="J4" s="303"/>
      <c r="K4" s="303"/>
    </row>
    <row r="5" spans="1:11" ht="25.5" customHeight="1" thickBot="1" x14ac:dyDescent="0.3">
      <c r="A5" s="298" t="s">
        <v>1503</v>
      </c>
      <c r="B5" s="1390" t="s">
        <v>45</v>
      </c>
      <c r="C5" s="1390"/>
      <c r="D5" s="1130">
        <v>0</v>
      </c>
      <c r="E5" s="415">
        <f>IF(D5&gt;10,1,0)</f>
        <v>0</v>
      </c>
      <c r="F5" s="303"/>
      <c r="G5" s="1384" t="s">
        <v>1835</v>
      </c>
      <c r="H5" s="1384"/>
      <c r="I5" s="901"/>
      <c r="J5" s="303"/>
      <c r="K5" s="303"/>
    </row>
    <row r="6" spans="1:11" ht="27" customHeight="1" thickBot="1" x14ac:dyDescent="0.35">
      <c r="A6" s="298" t="s">
        <v>1504</v>
      </c>
      <c r="B6" s="1390" t="s">
        <v>1505</v>
      </c>
      <c r="C6" s="1390"/>
      <c r="D6" s="411" t="s">
        <v>1540</v>
      </c>
      <c r="E6" s="415">
        <f>IF(D6="ja",1,0)</f>
        <v>0</v>
      </c>
      <c r="F6" s="303"/>
      <c r="G6" s="1388" t="s">
        <v>2279</v>
      </c>
      <c r="H6" s="1389"/>
      <c r="I6" s="303"/>
      <c r="J6" s="303"/>
      <c r="K6" s="303"/>
    </row>
    <row r="7" spans="1:11" ht="13" x14ac:dyDescent="0.3">
      <c r="A7" s="298" t="s">
        <v>1506</v>
      </c>
      <c r="B7" s="1390" t="s">
        <v>1507</v>
      </c>
      <c r="C7" s="1390"/>
      <c r="D7" s="411" t="s">
        <v>1540</v>
      </c>
      <c r="E7" s="415">
        <f>IF(D7="ja",1,0)</f>
        <v>0</v>
      </c>
      <c r="F7" s="303"/>
      <c r="G7" s="766" t="s">
        <v>1986</v>
      </c>
      <c r="H7" s="767" t="s">
        <v>2277</v>
      </c>
      <c r="I7" s="303"/>
      <c r="J7" s="303"/>
      <c r="K7" s="303"/>
    </row>
    <row r="8" spans="1:11" ht="13.5" thickBot="1" x14ac:dyDescent="0.35">
      <c r="A8" s="299" t="s">
        <v>1508</v>
      </c>
      <c r="B8" s="1391" t="s">
        <v>1509</v>
      </c>
      <c r="C8" s="1391"/>
      <c r="D8" s="413" t="s">
        <v>1540</v>
      </c>
      <c r="E8" s="416">
        <f>IF(D8="ja",1,0)</f>
        <v>0</v>
      </c>
      <c r="F8" s="303"/>
      <c r="G8" s="696" t="s">
        <v>1985</v>
      </c>
      <c r="H8" s="703" t="s">
        <v>2278</v>
      </c>
      <c r="I8" s="303"/>
      <c r="J8" s="303"/>
      <c r="K8" s="303"/>
    </row>
    <row r="9" spans="1:11" ht="13.5" thickBot="1" x14ac:dyDescent="0.35">
      <c r="A9" s="289"/>
      <c r="B9" s="408" t="s">
        <v>172</v>
      </c>
      <c r="C9" s="409"/>
      <c r="D9" s="409"/>
      <c r="E9" s="410">
        <f>SUM(E4:E8)</f>
        <v>0</v>
      </c>
      <c r="F9" s="303"/>
      <c r="G9" s="697" t="s">
        <v>2269</v>
      </c>
      <c r="H9" s="703" t="s">
        <v>2270</v>
      </c>
      <c r="I9" s="303"/>
      <c r="J9" s="303"/>
      <c r="K9" s="303"/>
    </row>
    <row r="10" spans="1:11" ht="18.5" thickBot="1" x14ac:dyDescent="0.35">
      <c r="A10" s="289"/>
      <c r="B10" s="301" t="s">
        <v>173</v>
      </c>
      <c r="C10" s="300"/>
      <c r="D10" s="302"/>
      <c r="E10" s="406" t="str">
        <f>IF(E9&gt;0,"JA", IF('LUIK 1 - AANVRAAG'!K21&gt;1500,"JA","NEEN"))</f>
        <v>NEEN</v>
      </c>
      <c r="F10" s="303"/>
      <c r="G10" s="698" t="s">
        <v>2271</v>
      </c>
      <c r="H10" s="703" t="s">
        <v>2272</v>
      </c>
      <c r="I10" s="303"/>
      <c r="J10" s="303"/>
      <c r="K10" s="303"/>
    </row>
    <row r="11" spans="1:11" ht="13.5" thickBot="1" x14ac:dyDescent="0.35">
      <c r="A11" s="290"/>
      <c r="B11" s="291"/>
      <c r="C11" s="291"/>
      <c r="D11" s="291"/>
      <c r="E11" s="292"/>
      <c r="F11" s="303"/>
      <c r="G11" s="699" t="s">
        <v>2273</v>
      </c>
      <c r="H11" s="703" t="s">
        <v>2274</v>
      </c>
      <c r="I11" s="303"/>
      <c r="J11" s="303"/>
      <c r="K11" s="303"/>
    </row>
    <row r="12" spans="1:11" ht="13" x14ac:dyDescent="0.3">
      <c r="A12" s="474"/>
      <c r="B12" s="474"/>
      <c r="C12" s="474"/>
      <c r="D12" s="474"/>
      <c r="E12" s="474"/>
      <c r="F12" s="303"/>
      <c r="G12" s="768" t="s">
        <v>2275</v>
      </c>
      <c r="H12" s="703" t="s">
        <v>2276</v>
      </c>
      <c r="I12" s="303"/>
      <c r="J12" s="303"/>
      <c r="K12" s="303"/>
    </row>
    <row r="13" spans="1:11" ht="13.5" thickBot="1" x14ac:dyDescent="0.35">
      <c r="A13" s="474"/>
      <c r="B13" s="474"/>
      <c r="C13" s="474"/>
      <c r="D13" s="474"/>
      <c r="E13" s="474"/>
      <c r="F13" s="303"/>
      <c r="G13" s="769" t="s">
        <v>1838</v>
      </c>
      <c r="H13" s="770" t="s">
        <v>1839</v>
      </c>
      <c r="I13" s="303"/>
      <c r="J13" s="303"/>
      <c r="K13" s="303"/>
    </row>
    <row r="14" spans="1:11" ht="13.5" thickBot="1" x14ac:dyDescent="0.35">
      <c r="A14" s="474"/>
      <c r="B14" s="474"/>
      <c r="C14" s="474"/>
      <c r="D14" s="474"/>
      <c r="E14" s="474"/>
      <c r="F14" s="303"/>
      <c r="G14" s="1363" t="s">
        <v>1845</v>
      </c>
      <c r="H14" s="1364"/>
      <c r="I14" s="303"/>
      <c r="J14" s="303"/>
      <c r="K14" s="303"/>
    </row>
    <row r="15" spans="1:11" x14ac:dyDescent="0.25">
      <c r="A15" s="474"/>
      <c r="B15" s="474"/>
      <c r="C15" s="474"/>
      <c r="D15" s="474"/>
      <c r="E15" s="474"/>
      <c r="F15" s="303"/>
      <c r="G15" s="303"/>
      <c r="H15" s="303"/>
      <c r="I15" s="303"/>
      <c r="J15" s="303"/>
      <c r="K15" s="303"/>
    </row>
    <row r="16" spans="1:11" ht="13" x14ac:dyDescent="0.3">
      <c r="A16" s="303"/>
      <c r="B16" s="306"/>
      <c r="C16" s="303"/>
      <c r="D16" s="303"/>
      <c r="E16" s="303"/>
      <c r="F16" s="303"/>
      <c r="G16" s="303"/>
      <c r="H16" s="303"/>
      <c r="I16" s="303"/>
      <c r="J16" s="303"/>
      <c r="K16" s="303"/>
    </row>
    <row r="17" spans="1:11" ht="13" x14ac:dyDescent="0.3">
      <c r="A17" s="303"/>
      <c r="B17" s="305"/>
      <c r="C17" s="303"/>
      <c r="D17" s="303"/>
      <c r="E17" s="303"/>
      <c r="F17" s="303"/>
      <c r="G17" s="303"/>
      <c r="H17" s="303"/>
      <c r="I17" s="303"/>
      <c r="J17" s="303"/>
      <c r="K17" s="303"/>
    </row>
    <row r="18" spans="1:11" ht="13" x14ac:dyDescent="0.3">
      <c r="A18" s="303"/>
      <c r="B18" s="305"/>
      <c r="C18" s="303"/>
      <c r="D18" s="303"/>
      <c r="E18" s="303"/>
      <c r="F18" s="303"/>
      <c r="G18" s="303"/>
      <c r="H18" s="303"/>
      <c r="I18" s="303"/>
      <c r="J18" s="303"/>
      <c r="K18" s="303"/>
    </row>
    <row r="19" spans="1:11" ht="13" x14ac:dyDescent="0.3">
      <c r="A19" s="303"/>
      <c r="B19" s="305"/>
      <c r="C19" s="303"/>
      <c r="D19" s="71"/>
      <c r="E19" s="303"/>
      <c r="F19" s="303"/>
      <c r="G19" s="303"/>
      <c r="H19" s="303"/>
      <c r="I19" s="303"/>
      <c r="J19" s="303"/>
      <c r="K19" s="303"/>
    </row>
    <row r="20" spans="1:11" ht="13" x14ac:dyDescent="0.3">
      <c r="A20" s="303"/>
      <c r="B20" s="305"/>
      <c r="C20" s="303"/>
      <c r="D20" s="71"/>
      <c r="E20" s="303"/>
      <c r="F20" s="303"/>
      <c r="G20" s="303"/>
      <c r="H20" s="303"/>
      <c r="I20" s="303"/>
      <c r="J20" s="303"/>
      <c r="K20" s="303"/>
    </row>
    <row r="21" spans="1:11" ht="13" x14ac:dyDescent="0.3">
      <c r="A21" s="71"/>
      <c r="B21" s="860"/>
      <c r="C21" s="71"/>
      <c r="D21" s="71"/>
      <c r="E21" s="71"/>
      <c r="F21" s="71"/>
      <c r="G21" s="71"/>
      <c r="H21" s="71"/>
      <c r="I21" s="71"/>
      <c r="J21" s="71"/>
      <c r="K21" s="71"/>
    </row>
    <row r="22" spans="1:11" ht="13" x14ac:dyDescent="0.3">
      <c r="A22" s="71"/>
      <c r="B22" s="860"/>
      <c r="C22" s="71"/>
      <c r="D22" s="71"/>
      <c r="E22" s="71"/>
      <c r="F22" s="71"/>
      <c r="G22" s="71"/>
      <c r="H22" s="71"/>
      <c r="I22" s="71"/>
      <c r="J22" s="71"/>
      <c r="K22" s="71"/>
    </row>
    <row r="23" spans="1:11" x14ac:dyDescent="0.25">
      <c r="A23" s="71"/>
      <c r="B23" s="71"/>
      <c r="C23" s="71"/>
      <c r="D23" s="71"/>
      <c r="E23" s="71"/>
      <c r="F23" s="71"/>
      <c r="G23" s="71"/>
      <c r="H23" s="71"/>
      <c r="I23" s="71"/>
      <c r="J23" s="71"/>
      <c r="K23" s="71"/>
    </row>
    <row r="24" spans="1:11" x14ac:dyDescent="0.25">
      <c r="A24" s="71"/>
      <c r="B24" s="71"/>
      <c r="C24" s="71"/>
      <c r="D24" s="71"/>
      <c r="E24" s="71"/>
      <c r="F24" s="71"/>
      <c r="G24" s="71"/>
      <c r="H24" s="71"/>
      <c r="I24" s="71"/>
      <c r="J24" s="71"/>
      <c r="K24" s="71"/>
    </row>
    <row r="25" spans="1:11" x14ac:dyDescent="0.25">
      <c r="A25" s="71"/>
      <c r="B25" s="71"/>
      <c r="C25" s="71"/>
      <c r="D25" s="71"/>
      <c r="E25" s="71"/>
      <c r="F25" s="71"/>
      <c r="G25" s="71"/>
      <c r="H25" s="71"/>
      <c r="I25" s="71"/>
      <c r="J25" s="71"/>
      <c r="K25" s="71"/>
    </row>
    <row r="26" spans="1:11" x14ac:dyDescent="0.25">
      <c r="A26" s="71"/>
      <c r="B26" s="71"/>
      <c r="C26" s="71"/>
      <c r="D26" s="71"/>
      <c r="E26" s="71"/>
      <c r="F26" s="71"/>
      <c r="G26" s="71"/>
      <c r="H26" s="71"/>
      <c r="I26" s="71"/>
      <c r="J26" s="71"/>
      <c r="K26" s="71"/>
    </row>
    <row r="27" spans="1:11" ht="71.25" customHeight="1" x14ac:dyDescent="0.25">
      <c r="A27" s="71"/>
      <c r="B27" s="1386"/>
      <c r="C27" s="1387"/>
      <c r="D27" s="1387"/>
      <c r="E27" s="1387"/>
      <c r="F27" s="1387"/>
      <c r="G27" s="745"/>
      <c r="H27" s="745"/>
      <c r="I27" s="71"/>
      <c r="J27" s="71"/>
      <c r="K27" s="71"/>
    </row>
    <row r="28" spans="1:11" x14ac:dyDescent="0.25">
      <c r="A28" s="303"/>
      <c r="B28" s="303"/>
      <c r="C28" s="303"/>
      <c r="D28" s="303"/>
      <c r="E28" s="303"/>
      <c r="F28" s="303"/>
      <c r="G28" s="303"/>
      <c r="H28" s="303"/>
      <c r="I28" s="303"/>
      <c r="J28" s="303"/>
      <c r="K28" s="303"/>
    </row>
    <row r="29" spans="1:11" x14ac:dyDescent="0.25">
      <c r="A29" s="303"/>
      <c r="B29" s="303"/>
      <c r="C29" s="303"/>
      <c r="D29" s="303"/>
      <c r="E29" s="303"/>
      <c r="F29" s="303"/>
      <c r="G29" s="303"/>
      <c r="H29" s="303"/>
      <c r="I29" s="303"/>
      <c r="J29" s="303"/>
      <c r="K29" s="303"/>
    </row>
    <row r="30" spans="1:11" x14ac:dyDescent="0.25">
      <c r="A30" s="303"/>
      <c r="B30" s="303"/>
      <c r="C30" s="303"/>
      <c r="D30" s="303"/>
      <c r="E30" s="303"/>
      <c r="F30" s="303"/>
      <c r="G30" s="303"/>
      <c r="H30" s="303"/>
      <c r="I30" s="303"/>
      <c r="J30" s="303"/>
      <c r="K30" s="303"/>
    </row>
    <row r="31" spans="1:11" ht="13" hidden="1" x14ac:dyDescent="0.25">
      <c r="A31" s="303"/>
      <c r="B31" s="722" t="s">
        <v>1492</v>
      </c>
      <c r="C31" s="499">
        <f>IF(waardeluik1.1&lt;&gt;0,1,0)</f>
        <v>1</v>
      </c>
      <c r="D31" s="303"/>
      <c r="E31" s="303"/>
      <c r="F31" s="303"/>
      <c r="G31" s="303"/>
      <c r="H31" s="303"/>
      <c r="I31" s="303"/>
      <c r="J31" s="303"/>
      <c r="K31" s="303"/>
    </row>
    <row r="32" spans="1:11" ht="13" hidden="1" x14ac:dyDescent="0.25">
      <c r="A32" s="303"/>
      <c r="B32" s="722" t="s">
        <v>1493</v>
      </c>
      <c r="C32" s="500">
        <f>IF(AND($D$4&lt;&gt;"",$D$5&lt;&gt;"",$D$6&lt;&gt;"Maak uw keuze",$D$7&lt;&gt;"Maak uw keuze",$D$8&lt;&gt;"Maak uw keuze"),0,1)</f>
        <v>1</v>
      </c>
      <c r="D32" s="303"/>
      <c r="E32" s="303"/>
      <c r="F32" s="303"/>
      <c r="G32" s="303"/>
      <c r="H32" s="303"/>
      <c r="I32" s="303"/>
      <c r="J32" s="303"/>
      <c r="K32" s="303"/>
    </row>
    <row r="33" spans="2:4" s="303" customFormat="1" hidden="1" x14ac:dyDescent="0.25"/>
    <row r="34" spans="2:4" s="303" customFormat="1" hidden="1" x14ac:dyDescent="0.25"/>
    <row r="35" spans="2:4" s="303" customFormat="1" ht="13" hidden="1" x14ac:dyDescent="0.25">
      <c r="B35" s="723" t="s">
        <v>2135</v>
      </c>
      <c r="C35" s="1385" t="s">
        <v>2136</v>
      </c>
      <c r="D35" s="1385"/>
    </row>
    <row r="36" spans="2:4" s="303" customFormat="1" x14ac:dyDescent="0.25"/>
    <row r="37" spans="2:4" s="303" customFormat="1" x14ac:dyDescent="0.25"/>
    <row r="38" spans="2:4" s="303" customFormat="1" x14ac:dyDescent="0.25"/>
    <row r="39" spans="2:4" s="303" customFormat="1" x14ac:dyDescent="0.25"/>
    <row r="40" spans="2:4" s="303" customFormat="1" x14ac:dyDescent="0.25"/>
    <row r="41" spans="2:4" s="303" customFormat="1" x14ac:dyDescent="0.25"/>
    <row r="42" spans="2:4" s="303" customFormat="1" x14ac:dyDescent="0.25"/>
    <row r="43" spans="2:4" s="303" customFormat="1" x14ac:dyDescent="0.25"/>
    <row r="44" spans="2:4" s="303" customFormat="1" x14ac:dyDescent="0.25"/>
    <row r="45" spans="2:4" s="303" customFormat="1" x14ac:dyDescent="0.25"/>
    <row r="46" spans="2:4" s="303" customFormat="1" x14ac:dyDescent="0.25"/>
    <row r="47" spans="2:4" s="303" customFormat="1" x14ac:dyDescent="0.25"/>
    <row r="48" spans="2:4" s="303" customFormat="1" x14ac:dyDescent="0.25"/>
    <row r="49" s="303" customFormat="1" x14ac:dyDescent="0.25"/>
    <row r="50" s="303" customFormat="1" x14ac:dyDescent="0.25"/>
    <row r="51" s="303" customFormat="1" x14ac:dyDescent="0.25"/>
    <row r="52" s="303" customFormat="1" x14ac:dyDescent="0.25"/>
  </sheetData>
  <sheetProtection password="C534" sheet="1" objects="1" scenarios="1"/>
  <mergeCells count="14">
    <mergeCell ref="G14:H14"/>
    <mergeCell ref="C35:D35"/>
    <mergeCell ref="B27:F27"/>
    <mergeCell ref="G6:H6"/>
    <mergeCell ref="B5:C5"/>
    <mergeCell ref="B6:C6"/>
    <mergeCell ref="B7:C7"/>
    <mergeCell ref="B8:C8"/>
    <mergeCell ref="G5:H5"/>
    <mergeCell ref="A1:E1"/>
    <mergeCell ref="A3:B3"/>
    <mergeCell ref="D3:E3"/>
    <mergeCell ref="B4:C4"/>
    <mergeCell ref="G4:H4"/>
  </mergeCells>
  <phoneticPr fontId="2" type="noConversion"/>
  <conditionalFormatting sqref="D6">
    <cfRule type="cellIs" dxfId="32" priority="1" stopIfTrue="1" operator="notEqual">
      <formula>"Maak uw keuze"</formula>
    </cfRule>
  </conditionalFormatting>
  <conditionalFormatting sqref="D4:D5">
    <cfRule type="cellIs" dxfId="31" priority="2" stopIfTrue="1" operator="notEqual">
      <formula>""</formula>
    </cfRule>
  </conditionalFormatting>
  <conditionalFormatting sqref="D7:D8">
    <cfRule type="cellIs" dxfId="30" priority="3" stopIfTrue="1" operator="equal">
      <formula>"Onbekend"</formula>
    </cfRule>
    <cfRule type="cellIs" dxfId="29" priority="4" stopIfTrue="1" operator="notEqual">
      <formula>"Maak uw keuze"</formula>
    </cfRule>
  </conditionalFormatting>
  <dataValidations count="3">
    <dataValidation type="list" allowBlank="1" showInputMessage="1" showErrorMessage="1" sqref="D6" xr:uid="{00000000-0002-0000-0200-000000000000}">
      <formula1>"Maak uw keuze,Neen,Ja"</formula1>
    </dataValidation>
    <dataValidation type="list" allowBlank="1" showInputMessage="1" showErrorMessage="1" sqref="D7:D8" xr:uid="{00000000-0002-0000-0200-000001000000}">
      <formula1>"Maak uw keuze,Onbekend,Neen,Ja"</formula1>
    </dataValidation>
    <dataValidation type="whole" allowBlank="1" showInputMessage="1" showErrorMessage="1" error="U heeft waarschijnlijk tekst ingevuld. In dit veld kunnen alleen cijfers worden ingegeven." prompt="In dit veld kunnen alleen cijfers ingegeven worden._x000a_" sqref="D4:D5" xr:uid="{00000000-0002-0000-0200-000002000000}">
      <formula1>0</formula1>
      <formula2>1000</formula2>
    </dataValidation>
  </dataValidations>
  <hyperlinks>
    <hyperlink ref="G4" location="ZW" display="Adressen ziekenwagen" xr:uid="{00000000-0004-0000-0200-000000000000}"/>
    <hyperlink ref="G5" location="MUG" display="Adressen MUG" xr:uid="{00000000-0004-0000-0200-000001000000}"/>
    <hyperlink ref="G4:H4" location="'Adressen Ziekenwagen'!A1" display="Adressen ziekenwagen" xr:uid="{00000000-0004-0000-0200-000002000000}"/>
    <hyperlink ref="G5:H5" location="'Adressen MUG diensten'!A1" display="Adressen MUG" xr:uid="{00000000-0004-0000-0200-000003000000}"/>
  </hyperlinks>
  <pageMargins left="0.56999999999999995" right="0.34" top="0.78" bottom="0.73" header="0.5" footer="0.5"/>
  <pageSetup paperSize="9" orientation="landscape" verticalDpi="2" r:id="rId1"/>
  <headerFooter alignWithMargins="0">
    <oddHeader>&amp;L&amp;"Arial,Bold Italic"&amp;8PRIMA - LUIK 2&amp;C&amp;"Arial,Bold Italic"&amp;8MOET EEN VOLLEDIGE RISICOANALYSE GEMAAKT WORDEN</oddHeader>
    <oddFooter>&amp;R&amp;P</oddFooter>
  </headerFooter>
  <colBreaks count="1" manualBreakCount="1">
    <brk id="5" max="26" man="1"/>
  </colBreaks>
  <drawing r:id="rId2"/>
  <legacyDrawing r:id="rId3"/>
  <controls>
    <mc:AlternateContent xmlns:mc="http://schemas.openxmlformats.org/markup-compatibility/2006">
      <mc:Choice Requires="x14">
        <control shapeId="15380" r:id="rId4" name="CommandButton1">
          <controlPr defaultSize="0" autoLine="0" r:id="rId5">
            <anchor moveWithCells="1">
              <from>
                <xdr:col>0</xdr:col>
                <xdr:colOff>133350</xdr:colOff>
                <xdr:row>11</xdr:row>
                <xdr:rowOff>88900</xdr:rowOff>
              </from>
              <to>
                <xdr:col>4</xdr:col>
                <xdr:colOff>177800</xdr:colOff>
                <xdr:row>14</xdr:row>
                <xdr:rowOff>95250</xdr:rowOff>
              </to>
            </anchor>
          </controlPr>
        </control>
      </mc:Choice>
      <mc:Fallback>
        <control shapeId="15380" r:id="rId4" name="CommandButton1"/>
      </mc:Fallback>
    </mc:AlternateContent>
  </control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15"/>
  <dimension ref="A1:AT8"/>
  <sheetViews>
    <sheetView zoomScale="75" zoomScaleNormal="75" workbookViewId="0">
      <selection activeCell="AF4" sqref="AF4"/>
    </sheetView>
  </sheetViews>
  <sheetFormatPr defaultColWidth="9.1796875" defaultRowHeight="15.5" x14ac:dyDescent="0.35"/>
  <cols>
    <col min="1" max="1" width="9.1796875" style="489"/>
    <col min="2" max="2" width="17.54296875" style="489" customWidth="1"/>
    <col min="3" max="3" width="17.81640625" style="489" bestFit="1" customWidth="1"/>
    <col min="4" max="4" width="13.1796875" style="489" customWidth="1"/>
    <col min="5" max="6" width="13.26953125" style="489" customWidth="1"/>
    <col min="7" max="7" width="10.81640625" style="489" customWidth="1"/>
    <col min="8" max="8" width="12" style="489" bestFit="1" customWidth="1"/>
    <col min="9" max="9" width="12.453125" style="489" bestFit="1" customWidth="1"/>
    <col min="10" max="10" width="14.453125" style="489" bestFit="1" customWidth="1"/>
    <col min="11" max="11" width="14.81640625" style="489" bestFit="1" customWidth="1"/>
    <col min="12" max="12" width="16.26953125" style="489" bestFit="1" customWidth="1"/>
    <col min="13" max="13" width="16.1796875" style="489" bestFit="1" customWidth="1"/>
    <col min="14" max="18" width="16.1796875" style="489" customWidth="1"/>
    <col min="19" max="21" width="7" style="489" customWidth="1"/>
    <col min="22" max="22" width="12.1796875" style="489" bestFit="1" customWidth="1"/>
    <col min="23" max="23" width="11.1796875" style="489" bestFit="1" customWidth="1"/>
    <col min="24" max="24" width="6.26953125" style="489" bestFit="1" customWidth="1"/>
    <col min="25" max="26" width="9.1796875" style="489" bestFit="1"/>
    <col min="27" max="27" width="7" style="489" bestFit="1" customWidth="1"/>
    <col min="28" max="28" width="6" style="489" bestFit="1" customWidth="1"/>
    <col min="29" max="29" width="11.54296875" style="489" bestFit="1" customWidth="1"/>
    <col min="30" max="30" width="12.26953125" style="489" bestFit="1" customWidth="1"/>
    <col min="31" max="32" width="12.26953125" style="489" customWidth="1"/>
    <col min="33" max="35" width="7" style="489" customWidth="1"/>
    <col min="36" max="36" width="13.26953125" style="489" bestFit="1" customWidth="1"/>
    <col min="37" max="37" width="15.453125" style="489" bestFit="1" customWidth="1"/>
    <col min="38" max="41" width="15.453125" style="489" customWidth="1"/>
    <col min="42" max="42" width="9.1796875" style="489"/>
    <col min="43" max="43" width="21" style="489" customWidth="1"/>
    <col min="44" max="44" width="22.26953125" style="489" customWidth="1"/>
    <col min="45" max="45" width="20" style="489" bestFit="1" customWidth="1"/>
    <col min="46" max="16384" width="9.1796875" style="489"/>
  </cols>
  <sheetData>
    <row r="1" spans="1:46" s="482" customFormat="1" ht="31.5" customHeight="1" x14ac:dyDescent="0.35">
      <c r="A1" s="2069" t="s">
        <v>1901</v>
      </c>
      <c r="B1" s="2071" t="s">
        <v>310</v>
      </c>
      <c r="C1" s="2071"/>
      <c r="D1" s="2071"/>
      <c r="E1" s="2071"/>
      <c r="F1" s="2071"/>
      <c r="G1" s="2071"/>
      <c r="H1" s="2071"/>
      <c r="I1" s="2079" t="s">
        <v>1241</v>
      </c>
      <c r="J1" s="2080"/>
      <c r="K1" s="2080"/>
      <c r="L1" s="2080"/>
      <c r="M1" s="2081"/>
      <c r="N1" s="2065" t="s">
        <v>88</v>
      </c>
      <c r="O1" s="2066"/>
      <c r="P1" s="2066"/>
      <c r="Q1" s="2067"/>
      <c r="R1" s="2075" t="s">
        <v>1117</v>
      </c>
      <c r="S1" s="2075"/>
      <c r="T1" s="2075"/>
      <c r="U1" s="2075"/>
      <c r="V1" s="2072" t="s">
        <v>1124</v>
      </c>
      <c r="W1" s="2072"/>
      <c r="X1" s="2072"/>
      <c r="Y1" s="2072"/>
      <c r="Z1" s="2072"/>
      <c r="AA1" s="2072"/>
      <c r="AB1" s="481" t="s">
        <v>1130</v>
      </c>
      <c r="AC1" s="2076" t="s">
        <v>84</v>
      </c>
      <c r="AD1" s="2077"/>
      <c r="AE1" s="2078"/>
      <c r="AF1" s="2073" t="s">
        <v>309</v>
      </c>
      <c r="AG1" s="2073"/>
      <c r="AH1" s="2073"/>
      <c r="AI1" s="2074" t="s">
        <v>2086</v>
      </c>
      <c r="AJ1" s="2074"/>
      <c r="AK1" s="965"/>
      <c r="AL1" s="965"/>
      <c r="AM1" s="965"/>
      <c r="AN1" s="965"/>
      <c r="AO1" s="2070" t="s">
        <v>1132</v>
      </c>
      <c r="AP1" s="2070" t="s">
        <v>311</v>
      </c>
      <c r="AQ1" s="2068" t="s">
        <v>1448</v>
      </c>
      <c r="AR1" s="2064" t="s">
        <v>920</v>
      </c>
    </row>
    <row r="2" spans="1:46" ht="116.5" x14ac:dyDescent="0.35">
      <c r="A2" s="2069"/>
      <c r="B2" s="483" t="s">
        <v>1125</v>
      </c>
      <c r="C2" s="483" t="s">
        <v>1126</v>
      </c>
      <c r="D2" s="483" t="s">
        <v>1530</v>
      </c>
      <c r="E2" s="484" t="s">
        <v>1622</v>
      </c>
      <c r="F2" s="484" t="s">
        <v>2227</v>
      </c>
      <c r="G2" s="484" t="s">
        <v>2083</v>
      </c>
      <c r="H2" s="485" t="s">
        <v>2080</v>
      </c>
      <c r="I2" s="825" t="s">
        <v>1235</v>
      </c>
      <c r="J2" s="825" t="s">
        <v>1236</v>
      </c>
      <c r="K2" s="825" t="s">
        <v>1237</v>
      </c>
      <c r="L2" s="825" t="s">
        <v>163</v>
      </c>
      <c r="M2" s="833" t="s">
        <v>165</v>
      </c>
      <c r="N2" s="833" t="s">
        <v>89</v>
      </c>
      <c r="O2" s="833" t="s">
        <v>90</v>
      </c>
      <c r="P2" s="833" t="s">
        <v>91</v>
      </c>
      <c r="Q2" s="833" t="s">
        <v>92</v>
      </c>
      <c r="R2" s="485" t="s">
        <v>1623</v>
      </c>
      <c r="S2" s="483" t="s">
        <v>1624</v>
      </c>
      <c r="T2" s="486" t="s">
        <v>1116</v>
      </c>
      <c r="U2" s="483" t="s">
        <v>1129</v>
      </c>
      <c r="V2" s="486" t="s">
        <v>1118</v>
      </c>
      <c r="W2" s="483" t="s">
        <v>1119</v>
      </c>
      <c r="X2" s="483" t="s">
        <v>1120</v>
      </c>
      <c r="Y2" s="483" t="s">
        <v>1121</v>
      </c>
      <c r="Z2" s="483" t="s">
        <v>1122</v>
      </c>
      <c r="AA2" s="483" t="s">
        <v>1123</v>
      </c>
      <c r="AB2" s="483" t="s">
        <v>1131</v>
      </c>
      <c r="AC2" s="829" t="s">
        <v>1235</v>
      </c>
      <c r="AD2" s="966" t="s">
        <v>68</v>
      </c>
      <c r="AE2" s="966" t="s">
        <v>69</v>
      </c>
      <c r="AF2" s="830" t="s">
        <v>1623</v>
      </c>
      <c r="AG2" s="831" t="s">
        <v>1624</v>
      </c>
      <c r="AH2" s="488" t="s">
        <v>1116</v>
      </c>
      <c r="AI2" s="826" t="s">
        <v>2087</v>
      </c>
      <c r="AJ2" s="826" t="s">
        <v>2088</v>
      </c>
      <c r="AK2" s="967" t="s">
        <v>1531</v>
      </c>
      <c r="AL2" s="967" t="s">
        <v>85</v>
      </c>
      <c r="AM2" s="967" t="s">
        <v>86</v>
      </c>
      <c r="AN2" s="967" t="s">
        <v>87</v>
      </c>
      <c r="AO2" s="2070"/>
      <c r="AP2" s="2070"/>
      <c r="AQ2" s="2068"/>
      <c r="AR2" s="2064"/>
    </row>
    <row r="3" spans="1:46" s="490" customFormat="1" x14ac:dyDescent="0.35">
      <c r="AC3" s="344"/>
      <c r="AD3" s="344"/>
      <c r="AE3" s="344"/>
      <c r="AF3" s="828"/>
      <c r="AG3" s="828"/>
    </row>
    <row r="4" spans="1:46" x14ac:dyDescent="0.35">
      <c r="A4" s="483">
        <v>1</v>
      </c>
      <c r="B4" s="483">
        <f>'LUIK 1 - AANVRAAG'!G5</f>
        <v>0</v>
      </c>
      <c r="C4" s="483" t="str">
        <f>'LUIK 1 - AANVRAAG'!G6</f>
        <v>Maak uw keuze</v>
      </c>
      <c r="D4" s="483">
        <f>'LUIK 1 - AANVRAAG'!K8</f>
        <v>0</v>
      </c>
      <c r="E4" s="832">
        <f>'LUIK 1 - AANVRAAG'!G4</f>
        <v>0</v>
      </c>
      <c r="F4" s="485">
        <f>'LUIK 1 - AANVRAAG'!$G$7</f>
        <v>0</v>
      </c>
      <c r="G4" s="480">
        <f>'LUIK 1 - AANVRAAG'!$J$7</f>
        <v>0</v>
      </c>
      <c r="H4" s="483">
        <f>'LUIK 1 - AANVRAAG'!G3</f>
        <v>0</v>
      </c>
      <c r="I4" s="486">
        <f>'LUIK 1 - AANVRAAG'!$I$14</f>
        <v>0</v>
      </c>
      <c r="J4" s="486">
        <f>'LUIK 1 - AANVRAAG'!$I$15</f>
        <v>0</v>
      </c>
      <c r="K4" s="486">
        <f>'LUIK 1 - AANVRAAG'!$I$16</f>
        <v>100</v>
      </c>
      <c r="L4" s="486">
        <f>'LUIK 1 - AANVRAAG'!$I$17</f>
        <v>0</v>
      </c>
      <c r="M4" s="486">
        <f>'LUIK 1 - AANVRAAG'!$K$21</f>
        <v>0</v>
      </c>
      <c r="N4" s="486" t="str">
        <f>'LUIK3 + SCORE'!E55</f>
        <v>Maak uw keuze</v>
      </c>
      <c r="O4" s="486" t="str">
        <f>'LUIK3 + SCORE'!E43</f>
        <v>Maak uw keuze</v>
      </c>
      <c r="P4" s="486" t="str">
        <f>'LUIK3 + SCORE'!E44</f>
        <v>Maak uw keuze</v>
      </c>
      <c r="Q4" s="486" t="str">
        <f>'LUIK3 + SCORE'!E42</f>
        <v>Maak uw keuze</v>
      </c>
      <c r="R4" s="486">
        <f>RESULTATEN!E14</f>
        <v>0</v>
      </c>
      <c r="S4" s="486">
        <f>RESULTATEN!E15</f>
        <v>0</v>
      </c>
      <c r="T4" s="486">
        <f>RESULTATEN!E16</f>
        <v>0</v>
      </c>
      <c r="U4" s="491">
        <f>RESULTATEN!E17</f>
        <v>0</v>
      </c>
      <c r="V4" s="827">
        <f>WERKDOC!$B$42</f>
        <v>0</v>
      </c>
      <c r="W4" s="483">
        <f>WERKDOC!B28</f>
        <v>0</v>
      </c>
      <c r="X4" s="492">
        <f>WERKDOC!$B$44</f>
        <v>0</v>
      </c>
      <c r="Y4" s="492">
        <f>WERKDOC!$B$43</f>
        <v>0</v>
      </c>
      <c r="Z4" s="486">
        <f>RESULTATEN!E24</f>
        <v>0</v>
      </c>
      <c r="AA4" s="492">
        <f>RESULTATEN!E23</f>
        <v>0</v>
      </c>
      <c r="AB4" s="483">
        <f>INTERPRETATIE!G52</f>
        <v>1</v>
      </c>
      <c r="AC4" s="487">
        <f>Verzorgingen!E7</f>
        <v>0</v>
      </c>
      <c r="AD4" s="487">
        <f>Verzorgingen!E8</f>
        <v>0</v>
      </c>
      <c r="AE4" s="487">
        <f>Verzorgingen!E9</f>
        <v>0</v>
      </c>
      <c r="AF4" s="487">
        <f>Verzorgingen!E12</f>
        <v>0</v>
      </c>
      <c r="AG4" s="487">
        <f>Verzorgingen!E13</f>
        <v>0</v>
      </c>
      <c r="AH4" s="487">
        <f>Verzorgingen!E14</f>
        <v>0</v>
      </c>
      <c r="AI4" s="487">
        <f>Verzorgingen!E15</f>
        <v>0</v>
      </c>
      <c r="AJ4" s="487">
        <f>Verzorgingen!E16</f>
        <v>0</v>
      </c>
      <c r="AK4" s="487" t="str">
        <f>Verzorgingen!E19</f>
        <v>Maak uw keuze</v>
      </c>
      <c r="AL4" s="487" t="str">
        <f>Verzorgingen!E20</f>
        <v>Maak uw keuze</v>
      </c>
      <c r="AM4" s="487" t="str">
        <f>Verzorgingen!E21</f>
        <v>Maak uw keuze</v>
      </c>
      <c r="AN4" s="487" t="str">
        <f>Verzorgingen!E22</f>
        <v>Maak uw keuze</v>
      </c>
      <c r="AO4" s="493"/>
      <c r="AP4" s="493"/>
      <c r="AQ4" s="921" t="str">
        <f>Verzorgingen!A25</f>
        <v>Schrijf hier Uw eventuele verdere commentaar</v>
      </c>
      <c r="AR4" s="489">
        <f>IF(AS7=0,1,IF(AS8=0,1,2))</f>
        <v>1</v>
      </c>
    </row>
    <row r="7" spans="1:46" x14ac:dyDescent="0.35">
      <c r="AS7" s="1147">
        <f>'LUIK 4 - RISICO''S VGZ'!$D$51</f>
        <v>0</v>
      </c>
      <c r="AT7" s="489" t="s">
        <v>921</v>
      </c>
    </row>
    <row r="8" spans="1:46" x14ac:dyDescent="0.35">
      <c r="AS8" s="1195" t="str">
        <f>'LUIK Rampen'!$B$21</f>
        <v>?</v>
      </c>
      <c r="AT8" s="489" t="s">
        <v>1053</v>
      </c>
    </row>
  </sheetData>
  <sheetProtection password="C534" sheet="1" objects="1" scenarios="1"/>
  <mergeCells count="13">
    <mergeCell ref="AR1:AR2"/>
    <mergeCell ref="N1:Q1"/>
    <mergeCell ref="AQ1:AQ2"/>
    <mergeCell ref="A1:A2"/>
    <mergeCell ref="AO1:AO2"/>
    <mergeCell ref="AP1:AP2"/>
    <mergeCell ref="B1:H1"/>
    <mergeCell ref="V1:AA1"/>
    <mergeCell ref="AF1:AH1"/>
    <mergeCell ref="AI1:AJ1"/>
    <mergeCell ref="R1:U1"/>
    <mergeCell ref="AC1:AE1"/>
    <mergeCell ref="I1:M1"/>
  </mergeCells>
  <phoneticPr fontId="2" type="noConversion"/>
  <pageMargins left="0.25" right="0.25" top="1" bottom="1" header="0.5" footer="0.5"/>
  <pageSetup paperSize="9" scale="69" orientation="landscape" horizontalDpi="4294967293"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24"/>
  <dimension ref="A1:J12"/>
  <sheetViews>
    <sheetView workbookViewId="0">
      <selection activeCell="J2" sqref="J2"/>
    </sheetView>
  </sheetViews>
  <sheetFormatPr defaultRowHeight="12.5" x14ac:dyDescent="0.25"/>
  <cols>
    <col min="1" max="1" width="10.81640625" customWidth="1"/>
    <col min="2" max="2" width="8" bestFit="1" customWidth="1"/>
    <col min="3" max="3" width="11.54296875" customWidth="1"/>
    <col min="4" max="4" width="7" bestFit="1" customWidth="1"/>
    <col min="5" max="5" width="7" customWidth="1"/>
    <col min="7" max="7" width="11.54296875" bestFit="1" customWidth="1"/>
    <col min="8" max="8" width="13.81640625" bestFit="1" customWidth="1"/>
    <col min="9" max="9" width="16.7265625" bestFit="1" customWidth="1"/>
  </cols>
  <sheetData>
    <row r="1" spans="1:10" x14ac:dyDescent="0.25">
      <c r="A1" t="s">
        <v>353</v>
      </c>
      <c r="B1" t="s">
        <v>158</v>
      </c>
      <c r="C1" t="s">
        <v>354</v>
      </c>
      <c r="D1" t="s">
        <v>159</v>
      </c>
      <c r="F1" t="s">
        <v>355</v>
      </c>
      <c r="G1" t="s">
        <v>141</v>
      </c>
      <c r="H1" t="s">
        <v>143</v>
      </c>
      <c r="I1" t="s">
        <v>144</v>
      </c>
      <c r="J1" t="s">
        <v>142</v>
      </c>
    </row>
    <row r="2" spans="1:10" x14ac:dyDescent="0.25">
      <c r="A2" s="789">
        <v>40271</v>
      </c>
      <c r="B2" s="790">
        <v>0.54166666666666663</v>
      </c>
      <c r="C2" s="789">
        <v>40271</v>
      </c>
      <c r="D2" s="790">
        <v>0.625</v>
      </c>
      <c r="E2" s="790"/>
      <c r="F2" s="465">
        <f>C2-A2</f>
        <v>0</v>
      </c>
      <c r="G2" s="790">
        <f>D2-B2</f>
        <v>8.333333333333337E-2</v>
      </c>
      <c r="H2" s="465">
        <f>F2*24</f>
        <v>0</v>
      </c>
      <c r="I2" s="465">
        <f>G2*24</f>
        <v>2.0000000000000009</v>
      </c>
      <c r="J2" s="465">
        <f>SUM(H2:I2)</f>
        <v>2.0000000000000009</v>
      </c>
    </row>
    <row r="3" spans="1:10" x14ac:dyDescent="0.25">
      <c r="A3" s="789">
        <v>40271</v>
      </c>
      <c r="B3" s="790">
        <v>0.54166666666666663</v>
      </c>
      <c r="C3" s="789">
        <v>40272</v>
      </c>
      <c r="D3" s="790">
        <v>0.625</v>
      </c>
      <c r="E3" s="790"/>
      <c r="F3" s="465">
        <f t="shared" ref="F3:F10" si="0">C3-A3</f>
        <v>1</v>
      </c>
      <c r="G3" s="790">
        <f>D3-B3</f>
        <v>8.333333333333337E-2</v>
      </c>
      <c r="H3" s="465">
        <f t="shared" ref="H3:H10" si="1">F3*24</f>
        <v>24</v>
      </c>
      <c r="I3" s="465">
        <f t="shared" ref="I3:I10" si="2">G3*24</f>
        <v>2.0000000000000009</v>
      </c>
      <c r="J3" s="465">
        <f t="shared" ref="J3:J10" si="3">SUM(H3:I3)</f>
        <v>26</v>
      </c>
    </row>
    <row r="4" spans="1:10" x14ac:dyDescent="0.25">
      <c r="A4" s="789">
        <v>40271</v>
      </c>
      <c r="B4" s="790">
        <v>0.54166666666666663</v>
      </c>
      <c r="C4" s="789">
        <v>40272</v>
      </c>
      <c r="D4" s="790">
        <v>0.70833333333333304</v>
      </c>
      <c r="E4" s="790"/>
      <c r="F4" s="465">
        <f t="shared" si="0"/>
        <v>1</v>
      </c>
      <c r="G4" s="790">
        <f t="shared" ref="G4:G10" si="4">D4-B4</f>
        <v>0.16666666666666641</v>
      </c>
      <c r="H4" s="465">
        <f t="shared" si="1"/>
        <v>24</v>
      </c>
      <c r="I4" s="465">
        <f t="shared" si="2"/>
        <v>3.9999999999999938</v>
      </c>
      <c r="J4" s="465">
        <f t="shared" si="3"/>
        <v>27.999999999999993</v>
      </c>
    </row>
    <row r="5" spans="1:10" x14ac:dyDescent="0.25">
      <c r="A5" s="789">
        <v>40271</v>
      </c>
      <c r="B5" s="790">
        <v>0.66666666666666696</v>
      </c>
      <c r="C5" s="789"/>
      <c r="D5" s="790">
        <v>0.75</v>
      </c>
      <c r="E5" s="790"/>
      <c r="F5" s="465">
        <f t="shared" si="0"/>
        <v>-40271</v>
      </c>
      <c r="G5" s="790">
        <f t="shared" si="4"/>
        <v>8.3333333333333037E-2</v>
      </c>
      <c r="H5" s="465">
        <f t="shared" si="1"/>
        <v>-966504</v>
      </c>
      <c r="I5" s="465">
        <f t="shared" si="2"/>
        <v>1.9999999999999929</v>
      </c>
      <c r="J5" s="465">
        <f t="shared" si="3"/>
        <v>-966502</v>
      </c>
    </row>
    <row r="6" spans="1:10" x14ac:dyDescent="0.25">
      <c r="A6" s="789">
        <v>40271</v>
      </c>
      <c r="B6" s="790">
        <v>0.70833333333333304</v>
      </c>
      <c r="C6" s="789"/>
      <c r="D6" s="790">
        <v>0.79166666666666696</v>
      </c>
      <c r="E6" s="790"/>
      <c r="F6" s="465">
        <f t="shared" si="0"/>
        <v>-40271</v>
      </c>
      <c r="G6" s="790">
        <f t="shared" si="4"/>
        <v>8.3333333333333925E-2</v>
      </c>
      <c r="H6" s="465">
        <f t="shared" si="1"/>
        <v>-966504</v>
      </c>
      <c r="I6" s="465">
        <f t="shared" si="2"/>
        <v>2.0000000000000142</v>
      </c>
      <c r="J6" s="465">
        <f t="shared" si="3"/>
        <v>-966502</v>
      </c>
    </row>
    <row r="7" spans="1:10" x14ac:dyDescent="0.25">
      <c r="A7" s="789">
        <v>40271</v>
      </c>
      <c r="B7" s="790">
        <v>0.75</v>
      </c>
      <c r="C7" s="789"/>
      <c r="D7" s="790">
        <v>0.83333333333333304</v>
      </c>
      <c r="E7" s="790"/>
      <c r="F7" s="465">
        <f t="shared" si="0"/>
        <v>-40271</v>
      </c>
      <c r="G7" s="790">
        <f t="shared" si="4"/>
        <v>8.3333333333333037E-2</v>
      </c>
      <c r="H7" s="465">
        <f t="shared" si="1"/>
        <v>-966504</v>
      </c>
      <c r="I7" s="465">
        <f t="shared" si="2"/>
        <v>1.9999999999999929</v>
      </c>
      <c r="J7" s="465">
        <f t="shared" si="3"/>
        <v>-966502</v>
      </c>
    </row>
    <row r="8" spans="1:10" x14ac:dyDescent="0.25">
      <c r="A8" s="789">
        <v>40271</v>
      </c>
      <c r="B8" s="790">
        <v>0.79166666666666696</v>
      </c>
      <c r="C8" s="789"/>
      <c r="D8" s="790">
        <v>0.875</v>
      </c>
      <c r="E8" s="790"/>
      <c r="F8" s="465">
        <f t="shared" si="0"/>
        <v>-40271</v>
      </c>
      <c r="G8" s="790">
        <f t="shared" si="4"/>
        <v>8.3333333333333037E-2</v>
      </c>
      <c r="H8" s="465">
        <f t="shared" si="1"/>
        <v>-966504</v>
      </c>
      <c r="I8" s="465">
        <f t="shared" si="2"/>
        <v>1.9999999999999929</v>
      </c>
      <c r="J8" s="465">
        <f t="shared" si="3"/>
        <v>-966502</v>
      </c>
    </row>
    <row r="9" spans="1:10" x14ac:dyDescent="0.25">
      <c r="A9" s="789">
        <v>40271</v>
      </c>
      <c r="B9" s="790">
        <v>0.83333333333333304</v>
      </c>
      <c r="C9" s="789"/>
      <c r="D9" s="790">
        <v>0.91666666666666696</v>
      </c>
      <c r="E9" s="790"/>
      <c r="F9" s="465">
        <f t="shared" si="0"/>
        <v>-40271</v>
      </c>
      <c r="G9" s="790">
        <f t="shared" si="4"/>
        <v>8.3333333333333925E-2</v>
      </c>
      <c r="H9" s="465">
        <f t="shared" si="1"/>
        <v>-966504</v>
      </c>
      <c r="I9" s="465">
        <f t="shared" si="2"/>
        <v>2.0000000000000142</v>
      </c>
      <c r="J9" s="465">
        <f t="shared" si="3"/>
        <v>-966502</v>
      </c>
    </row>
    <row r="10" spans="1:10" x14ac:dyDescent="0.25">
      <c r="A10" s="789">
        <v>40271</v>
      </c>
      <c r="B10" s="790">
        <v>0.875</v>
      </c>
      <c r="C10" s="789"/>
      <c r="D10" s="790">
        <v>0.95833333333333304</v>
      </c>
      <c r="E10" s="790"/>
      <c r="F10" s="465">
        <f t="shared" si="0"/>
        <v>-40271</v>
      </c>
      <c r="G10" s="790">
        <f t="shared" si="4"/>
        <v>8.3333333333333037E-2</v>
      </c>
      <c r="H10" s="465">
        <f t="shared" si="1"/>
        <v>-966504</v>
      </c>
      <c r="I10" s="465">
        <f t="shared" si="2"/>
        <v>1.9999999999999929</v>
      </c>
      <c r="J10" s="465">
        <f t="shared" si="3"/>
        <v>-966502</v>
      </c>
    </row>
    <row r="11" spans="1:10" x14ac:dyDescent="0.25">
      <c r="G11" s="790"/>
      <c r="H11" s="790"/>
      <c r="I11" s="790"/>
    </row>
    <row r="12" spans="1:10" x14ac:dyDescent="0.25">
      <c r="G12" s="790"/>
      <c r="H12" s="790"/>
      <c r="I12" s="790"/>
    </row>
  </sheetData>
  <sheetProtection password="C534" sheet="1" objects="1" scenarios="1"/>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tabColor indexed="10"/>
  </sheetPr>
  <dimension ref="A1:AR74"/>
  <sheetViews>
    <sheetView zoomScale="80" zoomScaleNormal="75" workbookViewId="0">
      <selection activeCell="D18" sqref="D18:E18"/>
    </sheetView>
  </sheetViews>
  <sheetFormatPr defaultColWidth="9.1796875" defaultRowHeight="12.5" x14ac:dyDescent="0.25"/>
  <cols>
    <col min="1" max="1" width="20.7265625" style="494" customWidth="1"/>
    <col min="2" max="2" width="4" style="494" bestFit="1" customWidth="1"/>
    <col min="3" max="3" width="107.453125" style="494" customWidth="1"/>
    <col min="4" max="4" width="16" style="494" customWidth="1"/>
    <col min="5" max="5" width="7.453125" style="494" customWidth="1"/>
    <col min="6" max="9" width="1.453125" style="494" customWidth="1"/>
    <col min="10" max="10" width="12.81640625" style="494" hidden="1" customWidth="1"/>
    <col min="11" max="11" width="1.7265625" style="494" customWidth="1"/>
    <col min="12" max="12" width="30" style="494" customWidth="1"/>
    <col min="13" max="13" width="61.26953125" style="494" bestFit="1" customWidth="1"/>
    <col min="14" max="16384" width="9.1796875" style="494"/>
  </cols>
  <sheetData>
    <row r="1" spans="1:44" ht="15.5" x14ac:dyDescent="0.25">
      <c r="A1" s="1407" t="s">
        <v>776</v>
      </c>
      <c r="B1" s="1408"/>
      <c r="C1" s="1408"/>
      <c r="D1" s="1408"/>
      <c r="E1" s="1408"/>
      <c r="F1" s="638"/>
      <c r="G1" s="638"/>
      <c r="H1" s="638"/>
      <c r="I1" s="638"/>
      <c r="J1" s="638"/>
      <c r="K1" s="638"/>
      <c r="L1" s="638"/>
      <c r="M1" s="638"/>
      <c r="N1" s="638"/>
      <c r="O1" s="638"/>
      <c r="P1" s="638"/>
      <c r="Q1" s="638"/>
      <c r="R1" s="638"/>
      <c r="S1" s="638"/>
      <c r="T1" s="638"/>
      <c r="U1" s="638"/>
      <c r="V1" s="638"/>
      <c r="W1" s="638"/>
      <c r="X1" s="638"/>
      <c r="Y1" s="638"/>
      <c r="Z1" s="638"/>
      <c r="AA1" s="638"/>
      <c r="AB1" s="638"/>
      <c r="AC1" s="638"/>
      <c r="AD1" s="638"/>
      <c r="AE1" s="638"/>
      <c r="AF1" s="638"/>
      <c r="AG1" s="638"/>
      <c r="AH1" s="638"/>
      <c r="AI1" s="638"/>
      <c r="AJ1" s="638"/>
      <c r="AK1" s="638"/>
      <c r="AL1" s="638"/>
      <c r="AM1" s="638"/>
      <c r="AN1" s="638"/>
      <c r="AO1" s="638"/>
      <c r="AP1" s="638"/>
      <c r="AQ1" s="638"/>
      <c r="AR1" s="638"/>
    </row>
    <row r="2" spans="1:44" s="761" customFormat="1" ht="74.25" customHeight="1" x14ac:dyDescent="0.25">
      <c r="A2" s="1409" t="s">
        <v>2297</v>
      </c>
      <c r="B2" s="1409"/>
      <c r="C2" s="1409"/>
      <c r="D2" s="1409"/>
      <c r="E2" s="1409"/>
      <c r="F2" s="762"/>
      <c r="G2" s="762"/>
      <c r="H2" s="762"/>
      <c r="I2" s="762"/>
      <c r="J2" s="1406"/>
      <c r="K2" s="1406"/>
      <c r="L2" s="1406"/>
      <c r="M2" s="762"/>
      <c r="N2" s="762"/>
      <c r="O2" s="762"/>
      <c r="P2" s="762"/>
      <c r="Q2" s="762"/>
      <c r="R2" s="762"/>
      <c r="S2" s="762"/>
      <c r="T2" s="762"/>
      <c r="U2" s="762"/>
      <c r="V2" s="762"/>
      <c r="W2" s="762"/>
      <c r="X2" s="762"/>
      <c r="Y2" s="762"/>
      <c r="Z2" s="762"/>
      <c r="AA2" s="762"/>
      <c r="AB2" s="762"/>
      <c r="AC2" s="762"/>
      <c r="AD2" s="762"/>
      <c r="AE2" s="762"/>
      <c r="AF2" s="762"/>
      <c r="AG2" s="762"/>
      <c r="AH2" s="762"/>
      <c r="AI2" s="762"/>
      <c r="AJ2" s="762"/>
      <c r="AK2" s="762"/>
      <c r="AL2" s="762"/>
      <c r="AM2" s="762"/>
      <c r="AN2" s="762"/>
      <c r="AO2" s="762"/>
      <c r="AP2" s="762"/>
      <c r="AQ2" s="762"/>
      <c r="AR2" s="762"/>
    </row>
    <row r="3" spans="1:44" s="638" customFormat="1" ht="13" thickBot="1" x14ac:dyDescent="0.3"/>
    <row r="4" spans="1:44" ht="35.25" customHeight="1" thickBot="1" x14ac:dyDescent="0.3">
      <c r="A4" s="1410" t="s">
        <v>1598</v>
      </c>
      <c r="B4" s="1411"/>
      <c r="C4" s="1411"/>
      <c r="D4" s="1411"/>
      <c r="E4" s="1412"/>
      <c r="F4" s="763"/>
      <c r="G4" s="763"/>
      <c r="H4" s="763"/>
      <c r="I4" s="763"/>
      <c r="J4" s="763"/>
      <c r="K4" s="638"/>
      <c r="L4" s="638"/>
      <c r="M4" s="638"/>
      <c r="N4" s="638"/>
      <c r="O4" s="638"/>
      <c r="P4" s="638"/>
      <c r="Q4" s="638"/>
      <c r="R4" s="638"/>
      <c r="S4" s="638"/>
      <c r="T4" s="638"/>
      <c r="U4" s="638"/>
      <c r="V4" s="638"/>
      <c r="W4" s="638"/>
      <c r="X4" s="638"/>
      <c r="Y4" s="638"/>
      <c r="Z4" s="638"/>
      <c r="AA4" s="638"/>
      <c r="AB4" s="638"/>
      <c r="AC4" s="638"/>
      <c r="AD4" s="638"/>
      <c r="AE4" s="638"/>
      <c r="AF4" s="638"/>
      <c r="AG4" s="638"/>
      <c r="AH4" s="638"/>
      <c r="AI4" s="638"/>
      <c r="AJ4" s="638"/>
      <c r="AK4" s="638"/>
    </row>
    <row r="5" spans="1:44" s="638" customFormat="1" ht="13" thickBot="1" x14ac:dyDescent="0.3"/>
    <row r="6" spans="1:44" ht="13.5" thickBot="1" x14ac:dyDescent="0.3">
      <c r="A6" s="639" t="s">
        <v>1511</v>
      </c>
      <c r="B6" s="640" t="s">
        <v>1512</v>
      </c>
      <c r="C6" s="640" t="s">
        <v>1692</v>
      </c>
      <c r="D6" s="1403" t="s">
        <v>1693</v>
      </c>
      <c r="E6" s="1404"/>
      <c r="F6" s="622"/>
      <c r="G6" s="1392"/>
      <c r="H6" s="1392"/>
      <c r="I6" s="622"/>
      <c r="J6" s="641" t="s">
        <v>1575</v>
      </c>
      <c r="K6" s="638"/>
      <c r="L6" s="506" t="str">
        <f>'LUIK 1 - AANVRAAG'!M3</f>
        <v>VERSIE 25 - 2011 02 18</v>
      </c>
      <c r="M6" s="638"/>
      <c r="N6" s="638"/>
      <c r="O6" s="638"/>
      <c r="P6" s="638"/>
      <c r="Q6" s="638"/>
      <c r="R6" s="638"/>
      <c r="S6" s="638"/>
      <c r="T6" s="638"/>
      <c r="U6" s="638"/>
      <c r="V6" s="638"/>
      <c r="W6" s="638"/>
      <c r="X6" s="638"/>
      <c r="Y6" s="638"/>
      <c r="Z6" s="638"/>
      <c r="AA6" s="638"/>
      <c r="AB6" s="638"/>
      <c r="AC6" s="638"/>
      <c r="AD6" s="638"/>
      <c r="AE6" s="638"/>
      <c r="AF6" s="638"/>
      <c r="AG6" s="638"/>
      <c r="AH6" s="638"/>
      <c r="AI6" s="638"/>
      <c r="AJ6" s="638"/>
      <c r="AK6" s="638"/>
    </row>
    <row r="7" spans="1:44" ht="42.5" thickBot="1" x14ac:dyDescent="0.3">
      <c r="A7" s="1413" t="s">
        <v>1513</v>
      </c>
      <c r="B7" s="642">
        <v>58</v>
      </c>
      <c r="C7" s="643" t="s">
        <v>876</v>
      </c>
      <c r="D7" s="1419" t="s">
        <v>1540</v>
      </c>
      <c r="E7" s="1420"/>
      <c r="F7" s="644"/>
      <c r="G7" s="644"/>
      <c r="H7" s="644"/>
      <c r="I7" s="622"/>
      <c r="J7" s="645">
        <f>IF(D7="neen",1,0)</f>
        <v>0</v>
      </c>
      <c r="K7" s="638"/>
      <c r="L7" s="638"/>
      <c r="M7" s="638"/>
      <c r="N7" s="638"/>
      <c r="O7" s="638"/>
      <c r="P7" s="638"/>
      <c r="Q7" s="638"/>
      <c r="R7" s="638"/>
      <c r="S7" s="638"/>
      <c r="T7" s="638"/>
      <c r="U7" s="638"/>
      <c r="V7" s="638"/>
      <c r="W7" s="638"/>
      <c r="X7" s="638"/>
      <c r="Y7" s="638"/>
      <c r="Z7" s="638"/>
      <c r="AA7" s="638"/>
      <c r="AB7" s="638"/>
      <c r="AC7" s="638"/>
      <c r="AD7" s="638"/>
      <c r="AE7" s="638"/>
      <c r="AF7" s="638"/>
      <c r="AG7" s="638"/>
      <c r="AH7" s="638"/>
      <c r="AI7" s="638"/>
      <c r="AJ7" s="638"/>
      <c r="AK7" s="638"/>
    </row>
    <row r="8" spans="1:44" ht="28.5" thickBot="1" x14ac:dyDescent="0.35">
      <c r="A8" s="1413"/>
      <c r="B8" s="646">
        <v>59</v>
      </c>
      <c r="C8" s="647" t="s">
        <v>864</v>
      </c>
      <c r="D8" s="1397" t="s">
        <v>1540</v>
      </c>
      <c r="E8" s="1398"/>
      <c r="F8" s="644"/>
      <c r="G8" s="644"/>
      <c r="H8" s="644"/>
      <c r="I8" s="622"/>
      <c r="J8" s="648">
        <f t="shared" ref="J8:J22" si="0">IF(D8="neen",1,0)</f>
        <v>0</v>
      </c>
      <c r="K8" s="638"/>
      <c r="L8" s="1388" t="s">
        <v>2279</v>
      </c>
      <c r="M8" s="1389"/>
      <c r="N8" s="638"/>
      <c r="O8" s="638"/>
      <c r="P8" s="638"/>
      <c r="Q8" s="638"/>
      <c r="R8" s="638"/>
      <c r="S8" s="638"/>
      <c r="T8" s="638"/>
      <c r="U8" s="638"/>
      <c r="V8" s="638"/>
      <c r="W8" s="638"/>
      <c r="X8" s="638"/>
      <c r="Y8" s="638"/>
      <c r="Z8" s="638"/>
      <c r="AA8" s="638"/>
      <c r="AB8" s="638"/>
      <c r="AC8" s="638"/>
      <c r="AD8" s="638"/>
      <c r="AE8" s="638"/>
      <c r="AF8" s="638"/>
      <c r="AG8" s="638"/>
      <c r="AH8" s="638"/>
      <c r="AI8" s="638"/>
      <c r="AJ8" s="638"/>
      <c r="AK8" s="638"/>
    </row>
    <row r="9" spans="1:44" ht="28" x14ac:dyDescent="0.3">
      <c r="A9" s="1413"/>
      <c r="B9" s="646">
        <v>60</v>
      </c>
      <c r="C9" s="647" t="s">
        <v>465</v>
      </c>
      <c r="D9" s="1397" t="s">
        <v>1540</v>
      </c>
      <c r="E9" s="1398"/>
      <c r="F9" s="644"/>
      <c r="G9" s="644"/>
      <c r="H9" s="644"/>
      <c r="I9" s="622"/>
      <c r="J9" s="648">
        <f t="shared" si="0"/>
        <v>0</v>
      </c>
      <c r="K9" s="638"/>
      <c r="L9" s="766" t="s">
        <v>1986</v>
      </c>
      <c r="M9" s="767" t="s">
        <v>2277</v>
      </c>
      <c r="N9" s="638"/>
      <c r="O9" s="638"/>
      <c r="P9" s="638"/>
      <c r="Q9" s="638"/>
      <c r="R9" s="638"/>
      <c r="S9" s="638"/>
      <c r="T9" s="638"/>
      <c r="U9" s="638"/>
      <c r="V9" s="638"/>
      <c r="W9" s="638"/>
      <c r="X9" s="638"/>
      <c r="Y9" s="638"/>
      <c r="Z9" s="638"/>
      <c r="AA9" s="638"/>
      <c r="AB9" s="638"/>
      <c r="AC9" s="638"/>
      <c r="AD9" s="638"/>
      <c r="AE9" s="638"/>
      <c r="AF9" s="638"/>
      <c r="AG9" s="638"/>
      <c r="AH9" s="638"/>
      <c r="AI9" s="638"/>
      <c r="AJ9" s="638"/>
      <c r="AK9" s="638"/>
    </row>
    <row r="10" spans="1:44" ht="26.25" customHeight="1" x14ac:dyDescent="0.3">
      <c r="A10" s="1413"/>
      <c r="B10" s="646">
        <v>61</v>
      </c>
      <c r="C10" s="715" t="s">
        <v>466</v>
      </c>
      <c r="D10" s="1397" t="s">
        <v>1540</v>
      </c>
      <c r="E10" s="1398"/>
      <c r="F10" s="644"/>
      <c r="G10" s="644"/>
      <c r="H10" s="644"/>
      <c r="I10" s="622"/>
      <c r="J10" s="648">
        <f t="shared" si="0"/>
        <v>0</v>
      </c>
      <c r="K10" s="638"/>
      <c r="L10" s="696" t="s">
        <v>1985</v>
      </c>
      <c r="M10" s="703" t="s">
        <v>2278</v>
      </c>
      <c r="N10" s="638"/>
      <c r="O10" s="638"/>
      <c r="P10" s="638"/>
      <c r="Q10" s="638"/>
      <c r="R10" s="638"/>
      <c r="S10" s="638"/>
      <c r="T10" s="638"/>
      <c r="U10" s="638"/>
      <c r="V10" s="638"/>
      <c r="W10" s="638"/>
      <c r="X10" s="638"/>
      <c r="Y10" s="638"/>
      <c r="Z10" s="638"/>
      <c r="AA10" s="638"/>
      <c r="AB10" s="638"/>
      <c r="AC10" s="638"/>
      <c r="AD10" s="638"/>
      <c r="AE10" s="638"/>
      <c r="AF10" s="638"/>
      <c r="AG10" s="638"/>
      <c r="AH10" s="638"/>
      <c r="AI10" s="638"/>
      <c r="AJ10" s="638"/>
      <c r="AK10" s="638"/>
    </row>
    <row r="11" spans="1:44" ht="28" x14ac:dyDescent="0.3">
      <c r="A11" s="1413"/>
      <c r="B11" s="646">
        <v>62</v>
      </c>
      <c r="C11" s="647" t="s">
        <v>410</v>
      </c>
      <c r="D11" s="1397" t="s">
        <v>1540</v>
      </c>
      <c r="E11" s="1398"/>
      <c r="F11" s="644"/>
      <c r="G11" s="644"/>
      <c r="H11" s="644"/>
      <c r="I11" s="622"/>
      <c r="J11" s="648">
        <f t="shared" si="0"/>
        <v>0</v>
      </c>
      <c r="K11" s="638"/>
      <c r="L11" s="697" t="s">
        <v>2269</v>
      </c>
      <c r="M11" s="703" t="s">
        <v>2270</v>
      </c>
      <c r="N11" s="638"/>
      <c r="O11" s="638"/>
      <c r="P11" s="638"/>
      <c r="Q11" s="638"/>
      <c r="R11" s="638"/>
      <c r="S11" s="638"/>
      <c r="T11" s="638"/>
      <c r="U11" s="638"/>
      <c r="V11" s="638"/>
      <c r="W11" s="638"/>
      <c r="X11" s="638"/>
      <c r="Y11" s="638"/>
      <c r="Z11" s="638"/>
      <c r="AA11" s="638"/>
      <c r="AB11" s="638"/>
      <c r="AC11" s="638"/>
      <c r="AD11" s="638"/>
      <c r="AE11" s="638"/>
      <c r="AF11" s="638"/>
      <c r="AG11" s="638"/>
      <c r="AH11" s="638"/>
      <c r="AI11" s="638"/>
      <c r="AJ11" s="638"/>
      <c r="AK11" s="638"/>
    </row>
    <row r="12" spans="1:44" ht="23.25" customHeight="1" x14ac:dyDescent="0.3">
      <c r="A12" s="1413"/>
      <c r="B12" s="646">
        <v>63</v>
      </c>
      <c r="C12" s="647" t="s">
        <v>411</v>
      </c>
      <c r="D12" s="1397" t="s">
        <v>1540</v>
      </c>
      <c r="E12" s="1398"/>
      <c r="F12" s="644"/>
      <c r="G12" s="644"/>
      <c r="H12" s="644"/>
      <c r="I12" s="622"/>
      <c r="J12" s="648">
        <f t="shared" si="0"/>
        <v>0</v>
      </c>
      <c r="K12" s="638"/>
      <c r="L12" s="698" t="s">
        <v>2271</v>
      </c>
      <c r="M12" s="703" t="s">
        <v>2272</v>
      </c>
      <c r="N12" s="638"/>
      <c r="O12" s="638"/>
      <c r="P12" s="638"/>
      <c r="Q12" s="638"/>
      <c r="R12" s="638"/>
      <c r="S12" s="638"/>
      <c r="T12" s="638"/>
      <c r="U12" s="638"/>
      <c r="V12" s="638"/>
      <c r="W12" s="638"/>
      <c r="X12" s="638"/>
      <c r="Y12" s="638"/>
      <c r="Z12" s="638"/>
      <c r="AA12" s="638"/>
      <c r="AB12" s="638"/>
      <c r="AC12" s="638"/>
      <c r="AD12" s="638"/>
      <c r="AE12" s="638"/>
      <c r="AF12" s="638"/>
      <c r="AG12" s="638"/>
      <c r="AH12" s="638"/>
      <c r="AI12" s="638"/>
      <c r="AJ12" s="638"/>
      <c r="AK12" s="638"/>
    </row>
    <row r="13" spans="1:44" ht="23.25" customHeight="1" x14ac:dyDescent="0.3">
      <c r="A13" s="1413"/>
      <c r="B13" s="646">
        <v>64</v>
      </c>
      <c r="C13" s="647" t="s">
        <v>412</v>
      </c>
      <c r="D13" s="1397" t="s">
        <v>1540</v>
      </c>
      <c r="E13" s="1398"/>
      <c r="F13" s="644"/>
      <c r="G13" s="644"/>
      <c r="H13" s="644"/>
      <c r="I13" s="622"/>
      <c r="J13" s="648">
        <f t="shared" si="0"/>
        <v>0</v>
      </c>
      <c r="K13" s="638"/>
      <c r="L13" s="699" t="s">
        <v>2273</v>
      </c>
      <c r="M13" s="703" t="s">
        <v>2274</v>
      </c>
      <c r="N13" s="638"/>
      <c r="O13" s="638"/>
      <c r="P13" s="638"/>
      <c r="Q13" s="638"/>
      <c r="R13" s="638"/>
      <c r="S13" s="638"/>
      <c r="T13" s="638"/>
      <c r="U13" s="638"/>
      <c r="V13" s="638"/>
      <c r="W13" s="638"/>
      <c r="X13" s="638"/>
      <c r="Y13" s="638"/>
      <c r="Z13" s="638"/>
      <c r="AA13" s="638"/>
      <c r="AB13" s="638"/>
      <c r="AC13" s="638"/>
      <c r="AD13" s="638"/>
      <c r="AE13" s="638"/>
      <c r="AF13" s="638"/>
      <c r="AG13" s="638"/>
      <c r="AH13" s="638"/>
      <c r="AI13" s="638"/>
      <c r="AJ13" s="638"/>
      <c r="AK13" s="638"/>
    </row>
    <row r="14" spans="1:44" ht="28" x14ac:dyDescent="0.3">
      <c r="A14" s="1413"/>
      <c r="B14" s="646">
        <v>65</v>
      </c>
      <c r="C14" s="647" t="s">
        <v>1984</v>
      </c>
      <c r="D14" s="1397" t="s">
        <v>1540</v>
      </c>
      <c r="E14" s="1398"/>
      <c r="F14" s="644"/>
      <c r="G14" s="644"/>
      <c r="H14" s="644"/>
      <c r="I14" s="622"/>
      <c r="J14" s="648">
        <f t="shared" si="0"/>
        <v>0</v>
      </c>
      <c r="K14" s="638"/>
      <c r="L14" s="768" t="s">
        <v>2275</v>
      </c>
      <c r="M14" s="703" t="s">
        <v>2276</v>
      </c>
      <c r="N14" s="638"/>
      <c r="O14" s="638"/>
      <c r="P14" s="638"/>
      <c r="Q14" s="638"/>
      <c r="R14" s="638"/>
      <c r="S14" s="638"/>
      <c r="T14" s="638"/>
      <c r="U14" s="638"/>
      <c r="V14" s="638"/>
      <c r="W14" s="638"/>
      <c r="X14" s="638"/>
      <c r="Y14" s="638"/>
      <c r="Z14" s="638"/>
      <c r="AA14" s="638"/>
      <c r="AB14" s="638"/>
      <c r="AC14" s="638"/>
      <c r="AD14" s="638"/>
      <c r="AE14" s="638"/>
      <c r="AF14" s="638"/>
      <c r="AG14" s="638"/>
      <c r="AH14" s="638"/>
      <c r="AI14" s="638"/>
      <c r="AJ14" s="638"/>
      <c r="AK14" s="638"/>
    </row>
    <row r="15" spans="1:44" ht="28.5" thickBot="1" x14ac:dyDescent="0.35">
      <c r="A15" s="1413"/>
      <c r="B15" s="646">
        <v>66</v>
      </c>
      <c r="C15" s="647" t="s">
        <v>639</v>
      </c>
      <c r="D15" s="1397" t="s">
        <v>1540</v>
      </c>
      <c r="E15" s="1398"/>
      <c r="F15" s="644"/>
      <c r="G15" s="644"/>
      <c r="H15" s="644"/>
      <c r="I15" s="622"/>
      <c r="J15" s="648">
        <f t="shared" si="0"/>
        <v>0</v>
      </c>
      <c r="K15" s="638"/>
      <c r="L15" s="769" t="s">
        <v>1838</v>
      </c>
      <c r="M15" s="770" t="s">
        <v>1839</v>
      </c>
      <c r="N15" s="638"/>
      <c r="O15" s="638"/>
      <c r="P15" s="638"/>
      <c r="Q15" s="638"/>
      <c r="R15" s="638"/>
      <c r="S15" s="638"/>
      <c r="T15" s="638"/>
      <c r="U15" s="638"/>
      <c r="V15" s="638"/>
      <c r="W15" s="638"/>
      <c r="X15" s="638"/>
      <c r="Y15" s="638"/>
      <c r="Z15" s="638"/>
      <c r="AA15" s="638"/>
      <c r="AB15" s="638"/>
      <c r="AC15" s="638"/>
      <c r="AD15" s="638"/>
      <c r="AE15" s="638"/>
      <c r="AF15" s="638"/>
      <c r="AG15" s="638"/>
      <c r="AH15" s="638"/>
      <c r="AI15" s="638"/>
      <c r="AJ15" s="638"/>
      <c r="AK15" s="638"/>
    </row>
    <row r="16" spans="1:44" ht="28.5" thickBot="1" x14ac:dyDescent="0.35">
      <c r="A16" s="1413"/>
      <c r="B16" s="646">
        <v>67</v>
      </c>
      <c r="C16" s="647" t="s">
        <v>640</v>
      </c>
      <c r="D16" s="1397" t="s">
        <v>1540</v>
      </c>
      <c r="E16" s="1398"/>
      <c r="F16" s="644"/>
      <c r="G16" s="644"/>
      <c r="H16" s="644"/>
      <c r="I16" s="622"/>
      <c r="J16" s="648">
        <f t="shared" si="0"/>
        <v>0</v>
      </c>
      <c r="K16" s="638"/>
      <c r="L16" s="1363" t="s">
        <v>1845</v>
      </c>
      <c r="M16" s="1364"/>
      <c r="N16" s="727"/>
      <c r="O16" s="727"/>
      <c r="P16" s="638"/>
      <c r="Q16" s="638"/>
      <c r="R16" s="638"/>
      <c r="S16" s="638"/>
      <c r="T16" s="638"/>
      <c r="U16" s="638"/>
      <c r="V16" s="638"/>
      <c r="W16" s="638"/>
      <c r="X16" s="638"/>
      <c r="Y16" s="638"/>
      <c r="Z16" s="638"/>
      <c r="AA16" s="638"/>
      <c r="AB16" s="638"/>
      <c r="AC16" s="638"/>
      <c r="AD16" s="638"/>
      <c r="AE16" s="638"/>
      <c r="AF16" s="638"/>
      <c r="AG16" s="638"/>
      <c r="AH16" s="638"/>
      <c r="AI16" s="638"/>
      <c r="AJ16" s="638"/>
      <c r="AK16" s="638"/>
    </row>
    <row r="17" spans="1:37" ht="42.75" customHeight="1" x14ac:dyDescent="0.25">
      <c r="A17" s="1413"/>
      <c r="B17" s="646">
        <v>68</v>
      </c>
      <c r="C17" s="647" t="s">
        <v>1613</v>
      </c>
      <c r="D17" s="1397" t="s">
        <v>1540</v>
      </c>
      <c r="E17" s="1398"/>
      <c r="F17" s="644"/>
      <c r="G17" s="644"/>
      <c r="H17" s="644"/>
      <c r="I17" s="622"/>
      <c r="J17" s="648">
        <f t="shared" si="0"/>
        <v>0</v>
      </c>
      <c r="K17" s="638"/>
      <c r="L17" s="1414"/>
      <c r="M17" s="1414"/>
      <c r="N17" s="726"/>
      <c r="O17" s="726"/>
      <c r="P17" s="638"/>
      <c r="Q17" s="638"/>
      <c r="R17" s="638"/>
      <c r="S17" s="638"/>
      <c r="T17" s="638"/>
      <c r="U17" s="638"/>
      <c r="V17" s="638"/>
      <c r="W17" s="638"/>
      <c r="X17" s="638"/>
      <c r="Y17" s="638"/>
      <c r="Z17" s="638"/>
      <c r="AA17" s="638"/>
      <c r="AB17" s="638"/>
      <c r="AC17" s="638"/>
      <c r="AD17" s="638"/>
      <c r="AE17" s="638"/>
      <c r="AF17" s="638"/>
      <c r="AG17" s="638"/>
      <c r="AH17" s="638"/>
      <c r="AI17" s="638"/>
      <c r="AJ17" s="638"/>
      <c r="AK17" s="638"/>
    </row>
    <row r="18" spans="1:37" ht="28.5" thickBot="1" x14ac:dyDescent="0.3">
      <c r="A18" s="1413"/>
      <c r="B18" s="651">
        <v>69</v>
      </c>
      <c r="C18" s="652" t="s">
        <v>1614</v>
      </c>
      <c r="D18" s="1399" t="s">
        <v>1540</v>
      </c>
      <c r="E18" s="1400"/>
      <c r="F18" s="644"/>
      <c r="G18" s="644"/>
      <c r="H18" s="644"/>
      <c r="I18" s="622"/>
      <c r="J18" s="653">
        <f t="shared" si="0"/>
        <v>0</v>
      </c>
      <c r="K18" s="638"/>
      <c r="L18" s="726"/>
      <c r="M18" s="726"/>
      <c r="N18" s="726"/>
      <c r="O18" s="726"/>
      <c r="P18" s="638"/>
      <c r="Q18" s="638"/>
      <c r="R18" s="638"/>
      <c r="S18" s="638"/>
      <c r="T18" s="638"/>
      <c r="U18" s="638"/>
      <c r="V18" s="638"/>
      <c r="W18" s="638"/>
      <c r="X18" s="638"/>
      <c r="Y18" s="638"/>
      <c r="Z18" s="638"/>
      <c r="AA18" s="638"/>
      <c r="AB18" s="638"/>
      <c r="AC18" s="638"/>
      <c r="AD18" s="638"/>
      <c r="AE18" s="638"/>
      <c r="AF18" s="638"/>
      <c r="AG18" s="638"/>
      <c r="AH18" s="638"/>
      <c r="AI18" s="638"/>
      <c r="AJ18" s="638"/>
      <c r="AK18" s="638"/>
    </row>
    <row r="19" spans="1:37" ht="28.5" customHeight="1" x14ac:dyDescent="0.25">
      <c r="A19" s="1415" t="s">
        <v>1767</v>
      </c>
      <c r="B19" s="654">
        <v>70</v>
      </c>
      <c r="C19" s="655" t="s">
        <v>1615</v>
      </c>
      <c r="D19" s="1401" t="str">
        <f>IF('LUIK 1 - AANVRAAG'!G$22="neen","Niet van toepassing","Maak uw keuze")</f>
        <v>Niet van toepassing</v>
      </c>
      <c r="E19" s="1402"/>
      <c r="F19" s="644"/>
      <c r="G19" s="644"/>
      <c r="H19" s="644"/>
      <c r="I19" s="622"/>
      <c r="J19" s="645">
        <f t="shared" si="0"/>
        <v>0</v>
      </c>
      <c r="K19" s="638"/>
      <c r="L19" s="726"/>
      <c r="M19" s="726"/>
      <c r="N19" s="726"/>
      <c r="O19" s="726"/>
      <c r="P19" s="638"/>
      <c r="Q19" s="638"/>
      <c r="R19" s="638"/>
      <c r="S19" s="638"/>
      <c r="T19" s="638"/>
      <c r="U19" s="638"/>
      <c r="V19" s="638"/>
      <c r="W19" s="638"/>
      <c r="X19" s="638"/>
      <c r="Y19" s="638"/>
      <c r="Z19" s="638"/>
      <c r="AA19" s="638"/>
      <c r="AB19" s="638"/>
      <c r="AC19" s="638"/>
      <c r="AD19" s="638"/>
      <c r="AE19" s="638"/>
      <c r="AF19" s="638"/>
      <c r="AG19" s="638"/>
      <c r="AH19" s="638"/>
      <c r="AI19" s="638"/>
      <c r="AJ19" s="638"/>
      <c r="AK19" s="638"/>
    </row>
    <row r="20" spans="1:37" ht="24" customHeight="1" x14ac:dyDescent="0.25">
      <c r="A20" s="1421"/>
      <c r="B20" s="646">
        <v>71</v>
      </c>
      <c r="C20" s="647" t="s">
        <v>1689</v>
      </c>
      <c r="D20" s="1397" t="str">
        <f>IF('LUIK 1 - AANVRAAG'!G$22="neen","Niet van toepassing","Maak uw keuze")</f>
        <v>Niet van toepassing</v>
      </c>
      <c r="E20" s="1398"/>
      <c r="F20" s="644"/>
      <c r="G20" s="644"/>
      <c r="H20" s="644"/>
      <c r="I20" s="622"/>
      <c r="J20" s="648">
        <f t="shared" si="0"/>
        <v>0</v>
      </c>
      <c r="K20" s="638"/>
      <c r="L20" s="726"/>
      <c r="M20" s="726"/>
      <c r="N20" s="726"/>
      <c r="O20" s="726"/>
      <c r="P20" s="638"/>
      <c r="Q20" s="638"/>
      <c r="R20" s="638"/>
      <c r="S20" s="638"/>
      <c r="T20" s="638"/>
      <c r="U20" s="638"/>
      <c r="V20" s="638"/>
      <c r="W20" s="638"/>
      <c r="X20" s="638"/>
      <c r="Y20" s="638"/>
      <c r="Z20" s="638"/>
      <c r="AA20" s="638"/>
      <c r="AB20" s="638"/>
      <c r="AC20" s="638"/>
      <c r="AD20" s="638"/>
      <c r="AE20" s="638"/>
      <c r="AF20" s="638"/>
      <c r="AG20" s="638"/>
      <c r="AH20" s="638"/>
      <c r="AI20" s="638"/>
      <c r="AJ20" s="638"/>
      <c r="AK20" s="638"/>
    </row>
    <row r="21" spans="1:37" ht="24" customHeight="1" x14ac:dyDescent="0.25">
      <c r="A21" s="1421"/>
      <c r="B21" s="646">
        <v>72</v>
      </c>
      <c r="C21" s="647" t="s">
        <v>1690</v>
      </c>
      <c r="D21" s="1397" t="str">
        <f>IF('LUIK 1 - AANVRAAG'!G$22="neen","Niet van toepassing","Maak uw keuze")</f>
        <v>Niet van toepassing</v>
      </c>
      <c r="E21" s="1398"/>
      <c r="F21" s="644"/>
      <c r="G21" s="644"/>
      <c r="H21" s="644"/>
      <c r="I21" s="622"/>
      <c r="J21" s="648">
        <f t="shared" si="0"/>
        <v>0</v>
      </c>
      <c r="K21" s="638"/>
      <c r="L21" s="726"/>
      <c r="M21" s="726"/>
      <c r="N21" s="726"/>
      <c r="O21" s="726"/>
      <c r="P21" s="638"/>
      <c r="Q21" s="638"/>
      <c r="R21" s="638"/>
      <c r="S21" s="638"/>
      <c r="T21" s="638"/>
      <c r="U21" s="638"/>
      <c r="V21" s="638"/>
      <c r="W21" s="638"/>
      <c r="X21" s="638"/>
      <c r="Y21" s="638"/>
      <c r="Z21" s="638"/>
      <c r="AA21" s="638"/>
      <c r="AB21" s="638"/>
      <c r="AC21" s="638"/>
      <c r="AD21" s="638"/>
      <c r="AE21" s="638"/>
      <c r="AF21" s="638"/>
      <c r="AG21" s="638"/>
      <c r="AH21" s="638"/>
      <c r="AI21" s="638"/>
      <c r="AJ21" s="638"/>
      <c r="AK21" s="638"/>
    </row>
    <row r="22" spans="1:37" ht="29.25" customHeight="1" thickBot="1" x14ac:dyDescent="0.3">
      <c r="A22" s="1393"/>
      <c r="B22" s="656">
        <v>73</v>
      </c>
      <c r="C22" s="657" t="s">
        <v>1680</v>
      </c>
      <c r="D22" s="1417" t="str">
        <f>IF('LUIK 1 - AANVRAAG'!G$22="neen","Niet van toepassing","Maak uw keuze")</f>
        <v>Niet van toepassing</v>
      </c>
      <c r="E22" s="1418"/>
      <c r="F22" s="644"/>
      <c r="G22" s="644"/>
      <c r="H22" s="644"/>
      <c r="I22" s="622"/>
      <c r="J22" s="658">
        <f t="shared" si="0"/>
        <v>0</v>
      </c>
      <c r="K22" s="638"/>
      <c r="L22" s="726"/>
      <c r="M22" s="726"/>
      <c r="N22" s="638"/>
      <c r="O22" s="638"/>
      <c r="P22" s="638"/>
      <c r="Q22" s="638"/>
      <c r="R22" s="638"/>
      <c r="S22" s="638"/>
      <c r="T22" s="638"/>
      <c r="U22" s="638"/>
      <c r="V22" s="638"/>
      <c r="W22" s="638"/>
      <c r="X22" s="638"/>
      <c r="Y22" s="638"/>
      <c r="Z22" s="638"/>
      <c r="AA22" s="638"/>
      <c r="AB22" s="638"/>
      <c r="AC22" s="638"/>
      <c r="AD22" s="638"/>
      <c r="AE22" s="638"/>
      <c r="AF22" s="638"/>
      <c r="AG22" s="638"/>
      <c r="AH22" s="638"/>
      <c r="AI22" s="638"/>
      <c r="AJ22" s="638"/>
      <c r="AK22" s="638"/>
    </row>
    <row r="23" spans="1:37" ht="6.75" customHeight="1" thickBot="1" x14ac:dyDescent="0.3">
      <c r="A23" s="659"/>
      <c r="B23" s="622"/>
      <c r="C23" s="622"/>
      <c r="D23" s="622"/>
      <c r="E23" s="622"/>
      <c r="F23" s="622"/>
      <c r="G23" s="622"/>
      <c r="H23" s="622"/>
      <c r="I23" s="622"/>
      <c r="J23" s="660"/>
      <c r="K23" s="638"/>
      <c r="L23" s="638"/>
      <c r="M23" s="638"/>
      <c r="N23" s="638"/>
      <c r="O23" s="638"/>
      <c r="P23" s="638"/>
      <c r="Q23" s="638"/>
      <c r="R23" s="638"/>
      <c r="S23" s="638"/>
      <c r="T23" s="638"/>
      <c r="U23" s="638"/>
      <c r="V23" s="638"/>
      <c r="W23" s="638"/>
      <c r="X23" s="638"/>
      <c r="Y23" s="638"/>
      <c r="Z23" s="638"/>
      <c r="AA23" s="638"/>
      <c r="AB23" s="638"/>
      <c r="AC23" s="638"/>
      <c r="AD23" s="638"/>
      <c r="AE23" s="638"/>
      <c r="AF23" s="638"/>
      <c r="AG23" s="638"/>
      <c r="AH23" s="638"/>
      <c r="AI23" s="638"/>
      <c r="AJ23" s="638"/>
      <c r="AK23" s="638"/>
    </row>
    <row r="24" spans="1:37" ht="13.5" customHeight="1" thickBot="1" x14ac:dyDescent="0.3">
      <c r="A24" s="659"/>
      <c r="B24" s="622"/>
      <c r="C24" s="622"/>
      <c r="D24" s="1395" t="s">
        <v>489</v>
      </c>
      <c r="E24" s="1396"/>
      <c r="F24" s="1396"/>
      <c r="G24" s="1396"/>
      <c r="H24" s="1396"/>
      <c r="I24" s="661"/>
      <c r="J24" s="662">
        <f>SUM(J7:J22)</f>
        <v>0</v>
      </c>
      <c r="K24" s="638"/>
      <c r="L24" s="638"/>
      <c r="M24" s="638"/>
      <c r="N24" s="638"/>
      <c r="O24" s="638"/>
      <c r="P24" s="638"/>
      <c r="Q24" s="638"/>
      <c r="R24" s="638"/>
      <c r="S24" s="638"/>
      <c r="T24" s="638"/>
      <c r="U24" s="638"/>
      <c r="V24" s="638"/>
      <c r="W24" s="638"/>
      <c r="X24" s="638"/>
      <c r="Y24" s="638"/>
      <c r="Z24" s="638"/>
      <c r="AA24" s="638"/>
      <c r="AB24" s="638"/>
      <c r="AC24" s="638"/>
      <c r="AD24" s="638"/>
      <c r="AE24" s="638"/>
      <c r="AF24" s="638"/>
      <c r="AG24" s="638"/>
      <c r="AH24" s="638"/>
      <c r="AI24" s="638"/>
      <c r="AJ24" s="638"/>
      <c r="AK24" s="638"/>
    </row>
    <row r="25" spans="1:37" x14ac:dyDescent="0.25">
      <c r="A25" s="659"/>
      <c r="B25" s="622"/>
      <c r="C25" s="622"/>
      <c r="D25" s="1415" t="s">
        <v>223</v>
      </c>
      <c r="E25" s="1416"/>
      <c r="F25" s="1416"/>
      <c r="G25" s="1416"/>
      <c r="H25" s="1416"/>
      <c r="I25" s="1416"/>
      <c r="J25" s="663">
        <f>SUM(J7:J18)</f>
        <v>0</v>
      </c>
      <c r="K25" s="638"/>
      <c r="L25" s="638"/>
      <c r="M25" s="638"/>
      <c r="N25" s="638"/>
      <c r="O25" s="638"/>
      <c r="P25" s="638"/>
      <c r="Q25" s="638"/>
      <c r="R25" s="638"/>
      <c r="S25" s="638"/>
      <c r="T25" s="638"/>
      <c r="U25" s="638"/>
      <c r="V25" s="638"/>
      <c r="W25" s="638"/>
      <c r="X25" s="638"/>
      <c r="Y25" s="638"/>
      <c r="Z25" s="638"/>
      <c r="AA25" s="638"/>
      <c r="AB25" s="638"/>
      <c r="AC25" s="638"/>
      <c r="AD25" s="638"/>
      <c r="AE25" s="638"/>
      <c r="AF25" s="638"/>
      <c r="AG25" s="638"/>
      <c r="AH25" s="638"/>
      <c r="AI25" s="638"/>
      <c r="AJ25" s="638"/>
      <c r="AK25" s="638"/>
    </row>
    <row r="26" spans="1:37" ht="13" thickBot="1" x14ac:dyDescent="0.3">
      <c r="A26" s="664"/>
      <c r="B26" s="665"/>
      <c r="C26" s="665"/>
      <c r="D26" s="1393" t="s">
        <v>222</v>
      </c>
      <c r="E26" s="1394"/>
      <c r="F26" s="1394"/>
      <c r="G26" s="1394"/>
      <c r="H26" s="1394"/>
      <c r="I26" s="1394"/>
      <c r="J26" s="666">
        <f>SUM(J19:J22)</f>
        <v>0</v>
      </c>
      <c r="K26" s="638"/>
      <c r="L26" s="638"/>
      <c r="M26" s="638"/>
      <c r="N26" s="638"/>
      <c r="O26" s="638"/>
      <c r="P26" s="638"/>
      <c r="Q26" s="638"/>
      <c r="R26" s="638"/>
      <c r="S26" s="638"/>
      <c r="T26" s="638"/>
      <c r="U26" s="638"/>
      <c r="V26" s="638"/>
      <c r="W26" s="638"/>
      <c r="X26" s="638"/>
      <c r="Y26" s="638"/>
      <c r="Z26" s="638"/>
      <c r="AA26" s="638"/>
      <c r="AB26" s="638"/>
      <c r="AC26" s="638"/>
      <c r="AD26" s="638"/>
      <c r="AE26" s="638"/>
      <c r="AF26" s="638"/>
      <c r="AG26" s="638"/>
      <c r="AH26" s="638"/>
      <c r="AI26" s="638"/>
      <c r="AJ26" s="638"/>
      <c r="AK26" s="638"/>
    </row>
    <row r="27" spans="1:37" ht="12" customHeight="1" thickBot="1" x14ac:dyDescent="0.3">
      <c r="A27" s="622"/>
      <c r="B27" s="622"/>
      <c r="C27" s="622"/>
      <c r="D27" s="667"/>
      <c r="E27" s="667"/>
      <c r="F27" s="667"/>
      <c r="G27" s="667"/>
      <c r="H27" s="667"/>
      <c r="I27" s="667"/>
      <c r="J27" s="622"/>
      <c r="K27" s="638"/>
      <c r="L27" s="638"/>
      <c r="M27" s="638"/>
      <c r="N27" s="638"/>
      <c r="O27" s="638"/>
      <c r="P27" s="638"/>
      <c r="Q27" s="638"/>
      <c r="R27" s="638"/>
      <c r="S27" s="638"/>
      <c r="T27" s="638"/>
      <c r="U27" s="638"/>
      <c r="V27" s="638"/>
      <c r="W27" s="638"/>
      <c r="X27" s="638"/>
      <c r="Y27" s="638"/>
      <c r="Z27" s="638"/>
      <c r="AA27" s="638"/>
      <c r="AB27" s="638"/>
      <c r="AC27" s="638"/>
      <c r="AD27" s="638"/>
      <c r="AE27" s="638"/>
      <c r="AF27" s="638"/>
      <c r="AG27" s="638"/>
      <c r="AH27" s="638"/>
      <c r="AI27" s="638"/>
      <c r="AJ27" s="638"/>
      <c r="AK27" s="638"/>
    </row>
    <row r="28" spans="1:37" ht="12" customHeight="1" thickBot="1" x14ac:dyDescent="0.3">
      <c r="A28" s="638"/>
      <c r="B28" s="638"/>
      <c r="C28" s="668" t="s">
        <v>351</v>
      </c>
      <c r="D28" s="669"/>
      <c r="E28" s="638"/>
      <c r="F28" s="638"/>
      <c r="G28" s="638"/>
      <c r="H28" s="638"/>
      <c r="I28" s="638"/>
      <c r="J28" s="638"/>
      <c r="K28" s="638"/>
      <c r="L28" s="638"/>
      <c r="M28" s="638"/>
      <c r="N28" s="638"/>
      <c r="O28" s="638"/>
      <c r="P28" s="638"/>
      <c r="Q28" s="638"/>
      <c r="R28" s="638"/>
      <c r="S28" s="638"/>
      <c r="T28" s="638"/>
      <c r="U28" s="638"/>
      <c r="V28" s="638"/>
      <c r="W28" s="638"/>
      <c r="X28" s="638"/>
      <c r="Y28" s="638"/>
      <c r="Z28" s="638"/>
      <c r="AA28" s="638"/>
      <c r="AB28" s="638"/>
      <c r="AC28" s="638"/>
      <c r="AD28" s="638"/>
      <c r="AE28" s="638"/>
      <c r="AF28" s="638"/>
      <c r="AG28" s="638"/>
      <c r="AH28" s="638"/>
      <c r="AI28" s="638"/>
      <c r="AJ28" s="638"/>
      <c r="AK28" s="638"/>
    </row>
    <row r="29" spans="1:37" x14ac:dyDescent="0.25">
      <c r="A29" s="638"/>
      <c r="B29" s="670">
        <v>1</v>
      </c>
      <c r="C29" s="671" t="s">
        <v>224</v>
      </c>
      <c r="D29" s="663" t="str">
        <f>IF(J25=0,"NEEN","JA")</f>
        <v>NEEN</v>
      </c>
      <c r="E29" s="638"/>
      <c r="F29" s="638"/>
      <c r="G29" s="638"/>
      <c r="H29" s="638"/>
      <c r="I29" s="638"/>
      <c r="J29" s="638"/>
      <c r="K29" s="638"/>
      <c r="L29" s="638"/>
      <c r="M29" s="638"/>
      <c r="N29" s="638"/>
      <c r="O29" s="638"/>
      <c r="P29" s="638"/>
      <c r="Q29" s="638"/>
      <c r="R29" s="638"/>
      <c r="S29" s="638"/>
      <c r="T29" s="638"/>
      <c r="U29" s="638"/>
      <c r="V29" s="638"/>
      <c r="W29" s="638"/>
      <c r="X29" s="638"/>
      <c r="Y29" s="638"/>
      <c r="Z29" s="638"/>
      <c r="AA29" s="638"/>
      <c r="AB29" s="638"/>
      <c r="AC29" s="638"/>
      <c r="AD29" s="638"/>
      <c r="AE29" s="638"/>
      <c r="AF29" s="638"/>
      <c r="AG29" s="638"/>
      <c r="AH29" s="638"/>
      <c r="AI29" s="638"/>
      <c r="AJ29" s="638"/>
      <c r="AK29" s="638"/>
    </row>
    <row r="30" spans="1:37" ht="13.5" customHeight="1" thickBot="1" x14ac:dyDescent="0.3">
      <c r="A30" s="638"/>
      <c r="B30" s="672">
        <v>2</v>
      </c>
      <c r="C30" s="673" t="s">
        <v>225</v>
      </c>
      <c r="D30" s="666" t="str">
        <f>IF(J26=0,"NEEN","JA")</f>
        <v>NEEN</v>
      </c>
      <c r="E30" s="638"/>
      <c r="F30" s="638"/>
      <c r="G30" s="638"/>
      <c r="H30" s="638"/>
      <c r="I30" s="638"/>
      <c r="J30" s="622"/>
      <c r="K30" s="622"/>
      <c r="L30" s="638"/>
      <c r="M30" s="638"/>
      <c r="N30" s="638"/>
      <c r="O30" s="638"/>
      <c r="P30" s="638"/>
      <c r="Q30" s="638"/>
      <c r="R30" s="638"/>
      <c r="S30" s="638"/>
      <c r="T30" s="638"/>
      <c r="U30" s="638"/>
      <c r="V30" s="638"/>
      <c r="W30" s="638"/>
      <c r="X30" s="638"/>
      <c r="Y30" s="638"/>
      <c r="Z30" s="638"/>
      <c r="AA30" s="638"/>
      <c r="AB30" s="638"/>
      <c r="AC30" s="638"/>
      <c r="AD30" s="638"/>
      <c r="AE30" s="638"/>
      <c r="AF30" s="638"/>
      <c r="AG30" s="638"/>
      <c r="AH30" s="638"/>
      <c r="AI30" s="638"/>
      <c r="AJ30" s="638"/>
      <c r="AK30" s="638"/>
    </row>
    <row r="31" spans="1:37" s="638" customFormat="1" ht="2.25" customHeight="1" thickBot="1" x14ac:dyDescent="0.3">
      <c r="C31" s="622"/>
      <c r="D31" s="622"/>
      <c r="J31" s="622"/>
      <c r="K31" s="622"/>
      <c r="L31" s="622"/>
    </row>
    <row r="32" spans="1:37" s="638" customFormat="1" ht="13.5" customHeight="1" thickBot="1" x14ac:dyDescent="0.3">
      <c r="B32" s="674">
        <v>3</v>
      </c>
      <c r="C32" s="675" t="s">
        <v>1621</v>
      </c>
      <c r="D32" s="1148" t="str">
        <f>LUIK5!E16</f>
        <v>NEEN</v>
      </c>
      <c r="E32" s="676"/>
      <c r="F32" s="677"/>
      <c r="J32" s="622"/>
      <c r="K32" s="622"/>
      <c r="L32" s="622"/>
    </row>
    <row r="33" spans="1:37" s="638" customFormat="1" ht="13.5" customHeight="1" x14ac:dyDescent="0.25">
      <c r="C33" s="622"/>
      <c r="D33" s="622"/>
      <c r="L33" s="622"/>
    </row>
    <row r="34" spans="1:37" s="638" customFormat="1" ht="13.5" customHeight="1" x14ac:dyDescent="0.25">
      <c r="C34" s="622"/>
      <c r="D34" s="622"/>
    </row>
    <row r="35" spans="1:37" s="638" customFormat="1" ht="13.5" customHeight="1" x14ac:dyDescent="0.25">
      <c r="C35" s="622"/>
      <c r="D35" s="622"/>
    </row>
    <row r="36" spans="1:37" s="638" customFormat="1" ht="13.5" customHeight="1" x14ac:dyDescent="0.25">
      <c r="C36" s="622"/>
      <c r="D36" s="622"/>
    </row>
    <row r="37" spans="1:37" s="638" customFormat="1" ht="13.5" customHeight="1" x14ac:dyDescent="0.25">
      <c r="C37" s="622"/>
      <c r="D37" s="622"/>
    </row>
    <row r="38" spans="1:37" s="638" customFormat="1" ht="13.5" customHeight="1" x14ac:dyDescent="0.25">
      <c r="C38" s="622"/>
      <c r="D38" s="622"/>
    </row>
    <row r="39" spans="1:37" ht="13" x14ac:dyDescent="0.25">
      <c r="A39" s="638"/>
      <c r="B39" s="638"/>
      <c r="C39" s="649"/>
      <c r="D39" s="638"/>
      <c r="E39" s="638"/>
      <c r="F39" s="638"/>
      <c r="G39" s="638"/>
      <c r="H39" s="638"/>
      <c r="I39" s="638"/>
      <c r="J39" s="638"/>
      <c r="K39" s="638"/>
      <c r="L39" s="638"/>
      <c r="M39" s="638"/>
      <c r="N39" s="638"/>
      <c r="O39" s="638"/>
      <c r="P39" s="638"/>
      <c r="Q39" s="638"/>
      <c r="R39" s="638"/>
      <c r="S39" s="638"/>
      <c r="T39" s="638"/>
      <c r="U39" s="638"/>
      <c r="V39" s="638"/>
      <c r="W39" s="638"/>
      <c r="X39" s="638"/>
      <c r="Y39" s="638"/>
      <c r="Z39" s="638"/>
      <c r="AA39" s="638"/>
      <c r="AB39" s="638"/>
      <c r="AC39" s="638"/>
      <c r="AD39" s="638"/>
      <c r="AE39" s="638"/>
      <c r="AF39" s="638"/>
      <c r="AG39" s="638"/>
      <c r="AH39" s="638"/>
      <c r="AI39" s="638"/>
      <c r="AJ39" s="638"/>
      <c r="AK39" s="638"/>
    </row>
    <row r="40" spans="1:37" ht="13" x14ac:dyDescent="0.25">
      <c r="A40" s="638"/>
      <c r="B40" s="638"/>
      <c r="C40" s="650"/>
      <c r="D40" s="638"/>
      <c r="E40" s="638"/>
      <c r="F40" s="638"/>
      <c r="G40" s="638"/>
      <c r="H40" s="638"/>
      <c r="I40" s="638"/>
      <c r="J40" s="638"/>
      <c r="K40" s="638"/>
      <c r="L40" s="638"/>
      <c r="M40" s="638"/>
      <c r="N40" s="638"/>
      <c r="O40" s="638"/>
      <c r="P40" s="638"/>
      <c r="Q40" s="638"/>
      <c r="R40" s="638"/>
      <c r="S40" s="638"/>
      <c r="T40" s="638"/>
      <c r="U40" s="638"/>
      <c r="V40" s="638"/>
      <c r="W40" s="638"/>
      <c r="X40" s="638"/>
      <c r="Y40" s="638"/>
      <c r="Z40" s="638"/>
      <c r="AA40" s="638"/>
      <c r="AB40" s="638"/>
      <c r="AC40" s="638"/>
      <c r="AD40" s="638"/>
      <c r="AE40" s="638"/>
      <c r="AF40" s="638"/>
      <c r="AG40" s="638"/>
      <c r="AH40" s="638"/>
      <c r="AI40" s="638"/>
      <c r="AJ40" s="638"/>
      <c r="AK40" s="638"/>
    </row>
    <row r="41" spans="1:37" s="638" customFormat="1" x14ac:dyDescent="0.25"/>
    <row r="42" spans="1:37" ht="13" x14ac:dyDescent="0.25">
      <c r="A42" s="638"/>
      <c r="B42" s="638"/>
      <c r="C42" s="650"/>
      <c r="D42" s="638"/>
      <c r="E42" s="638"/>
      <c r="F42" s="638"/>
      <c r="G42" s="638"/>
      <c r="H42" s="638"/>
      <c r="I42" s="638"/>
      <c r="J42" s="638"/>
      <c r="K42" s="638"/>
      <c r="L42" s="638"/>
      <c r="M42" s="638"/>
      <c r="N42" s="638"/>
      <c r="O42" s="638"/>
      <c r="P42" s="638"/>
      <c r="Q42" s="638"/>
      <c r="R42" s="638"/>
      <c r="S42" s="638"/>
      <c r="T42" s="638"/>
      <c r="U42" s="638"/>
      <c r="V42" s="638"/>
      <c r="W42" s="638"/>
      <c r="X42" s="638"/>
      <c r="Y42" s="638"/>
      <c r="Z42" s="638"/>
      <c r="AA42" s="638"/>
      <c r="AB42" s="638"/>
      <c r="AC42" s="638"/>
      <c r="AD42" s="638"/>
      <c r="AE42" s="638"/>
      <c r="AF42" s="638"/>
      <c r="AG42" s="638"/>
      <c r="AH42" s="638"/>
      <c r="AI42" s="638"/>
      <c r="AJ42" s="638"/>
      <c r="AK42" s="638"/>
    </row>
    <row r="43" spans="1:37" ht="13" x14ac:dyDescent="0.25">
      <c r="A43" s="638"/>
      <c r="B43" s="638"/>
      <c r="C43" s="650"/>
      <c r="D43" s="638"/>
      <c r="E43" s="638"/>
      <c r="F43" s="638"/>
      <c r="G43" s="638"/>
      <c r="H43" s="638"/>
      <c r="I43" s="638"/>
      <c r="J43" s="638"/>
      <c r="K43" s="638"/>
      <c r="L43" s="638"/>
      <c r="M43" s="638"/>
      <c r="N43" s="638"/>
      <c r="O43" s="638"/>
      <c r="P43" s="638"/>
      <c r="Q43" s="638"/>
      <c r="R43" s="638"/>
      <c r="S43" s="638"/>
      <c r="T43" s="638"/>
      <c r="U43" s="638"/>
      <c r="V43" s="638"/>
      <c r="W43" s="638"/>
      <c r="X43" s="638"/>
      <c r="Y43" s="638"/>
      <c r="Z43" s="638"/>
      <c r="AA43" s="638"/>
      <c r="AB43" s="638"/>
      <c r="AC43" s="638"/>
      <c r="AD43" s="638"/>
      <c r="AE43" s="638"/>
      <c r="AF43" s="638"/>
      <c r="AG43" s="638"/>
      <c r="AH43" s="638"/>
      <c r="AI43" s="638"/>
      <c r="AJ43" s="638"/>
      <c r="AK43" s="638"/>
    </row>
    <row r="44" spans="1:37" ht="13" x14ac:dyDescent="0.25">
      <c r="A44" s="638"/>
      <c r="B44" s="638"/>
      <c r="C44" s="650"/>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row>
    <row r="45" spans="1:37" ht="13" x14ac:dyDescent="0.25">
      <c r="A45" s="638"/>
      <c r="B45" s="638"/>
      <c r="C45" s="650"/>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row>
    <row r="46" spans="1:37" x14ac:dyDescent="0.25">
      <c r="A46" s="638"/>
      <c r="B46" s="638"/>
      <c r="C46" s="638"/>
      <c r="D46" s="638"/>
      <c r="E46" s="638"/>
      <c r="F46" s="638"/>
      <c r="G46" s="638"/>
      <c r="H46" s="638"/>
      <c r="I46" s="638"/>
      <c r="J46" s="638"/>
      <c r="K46" s="638"/>
      <c r="L46" s="638"/>
      <c r="M46" s="638"/>
      <c r="N46" s="638"/>
      <c r="O46" s="638"/>
      <c r="P46" s="638"/>
      <c r="Q46" s="638"/>
      <c r="R46" s="638"/>
      <c r="S46" s="638"/>
      <c r="T46" s="638"/>
      <c r="U46" s="638"/>
      <c r="V46" s="638"/>
      <c r="W46" s="638"/>
      <c r="X46" s="638"/>
      <c r="Y46" s="638"/>
      <c r="Z46" s="638"/>
      <c r="AA46" s="638"/>
      <c r="AB46" s="638"/>
      <c r="AC46" s="638"/>
      <c r="AD46" s="638"/>
      <c r="AE46" s="638"/>
      <c r="AF46" s="638"/>
      <c r="AG46" s="638"/>
      <c r="AH46" s="638"/>
      <c r="AI46" s="638"/>
      <c r="AJ46" s="638"/>
      <c r="AK46" s="638"/>
    </row>
    <row r="47" spans="1:37" x14ac:dyDescent="0.25">
      <c r="A47" s="638"/>
      <c r="B47" s="638"/>
      <c r="C47" s="623"/>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row>
    <row r="48" spans="1:37" hidden="1" x14ac:dyDescent="0.25">
      <c r="A48" s="638"/>
      <c r="B48" s="638"/>
      <c r="C48" s="623" t="s">
        <v>1492</v>
      </c>
      <c r="D48" s="624">
        <f>waardeluik1.1</f>
        <v>1</v>
      </c>
      <c r="E48" s="638"/>
      <c r="F48" s="638"/>
      <c r="G48" s="638"/>
      <c r="H48" s="638"/>
      <c r="I48" s="638"/>
      <c r="J48" s="638"/>
      <c r="K48" s="638"/>
      <c r="L48" s="638"/>
      <c r="M48" s="638"/>
      <c r="N48" s="638"/>
      <c r="O48" s="638"/>
      <c r="P48" s="638"/>
      <c r="Q48" s="638"/>
      <c r="R48" s="638"/>
      <c r="S48" s="638"/>
      <c r="T48" s="638"/>
      <c r="U48" s="638"/>
      <c r="V48" s="638"/>
      <c r="W48" s="638"/>
      <c r="X48" s="638"/>
      <c r="Y48" s="638"/>
      <c r="Z48" s="638"/>
      <c r="AA48" s="638"/>
      <c r="AB48" s="638"/>
      <c r="AC48" s="638"/>
      <c r="AD48" s="638"/>
      <c r="AE48" s="638"/>
      <c r="AF48" s="638"/>
      <c r="AG48" s="638"/>
      <c r="AH48" s="638"/>
      <c r="AI48" s="638"/>
      <c r="AJ48" s="638"/>
      <c r="AK48" s="638"/>
    </row>
    <row r="49" spans="1:37" hidden="1" x14ac:dyDescent="0.25">
      <c r="A49" s="638"/>
      <c r="B49" s="638"/>
      <c r="C49" s="623" t="s">
        <v>1493</v>
      </c>
      <c r="D49" s="624">
        <f>waardeluik2.2</f>
        <v>1</v>
      </c>
      <c r="E49" s="638"/>
      <c r="F49" s="638"/>
      <c r="G49" s="638"/>
      <c r="H49" s="638"/>
      <c r="I49" s="638"/>
      <c r="J49" s="638"/>
      <c r="K49" s="638"/>
      <c r="L49" s="638"/>
      <c r="M49" s="638"/>
      <c r="N49" s="638"/>
      <c r="O49" s="638"/>
      <c r="P49" s="638"/>
      <c r="Q49" s="638"/>
      <c r="R49" s="638"/>
      <c r="S49" s="638"/>
      <c r="T49" s="638"/>
      <c r="U49" s="638"/>
      <c r="V49" s="638"/>
      <c r="W49" s="638"/>
      <c r="X49" s="638"/>
      <c r="Y49" s="638"/>
      <c r="Z49" s="638"/>
      <c r="AA49" s="638"/>
      <c r="AB49" s="638"/>
      <c r="AC49" s="638"/>
      <c r="AD49" s="638"/>
      <c r="AE49" s="638"/>
      <c r="AF49" s="638"/>
      <c r="AG49" s="638"/>
      <c r="AH49" s="638"/>
      <c r="AI49" s="638"/>
      <c r="AJ49" s="638"/>
      <c r="AK49" s="638"/>
    </row>
    <row r="50" spans="1:37" hidden="1" x14ac:dyDescent="0.25">
      <c r="A50" s="638"/>
      <c r="B50" s="638"/>
      <c r="C50" s="623" t="s">
        <v>1757</v>
      </c>
      <c r="D50" s="624">
        <f>IF(AND($D$7&lt;&gt;"Maak uw keuze",$D$8&lt;&gt;"Maak uw keuze",$D$9&lt;&gt;"Maak uw keuze",$D$10&lt;&gt;"Maak uw keuze",$D$11&lt;&gt;"Maak uw keuze",$D$12&lt;&gt;"Maak uw keuze",$D$13&lt;&gt;"Maak uw keuze",$D$14&lt;&gt;"Maak uw keuze",$D$15&lt;&gt;"Maak uw keuze",$D$16&lt;&gt;"Maak uw keuze",$D$17&lt;&gt;"Maak uw keuze",$D$18&lt;&gt;"Maak uw keuze",$D$19&lt;&gt;"Maak uw keuze",$D$20&lt;&gt;"Maak uw keuze",$D$21&lt;&gt;"Maak uw keuze",$D$22&lt;&gt;"Maak uw keuze"),0,1)</f>
        <v>1</v>
      </c>
      <c r="E50" s="638"/>
      <c r="F50" s="638"/>
      <c r="G50" s="638"/>
      <c r="H50" s="638"/>
      <c r="I50" s="638"/>
      <c r="J50" s="638"/>
      <c r="K50" s="638"/>
      <c r="L50" s="638"/>
      <c r="M50" s="638"/>
      <c r="N50" s="638"/>
      <c r="O50" s="638"/>
      <c r="P50" s="638"/>
      <c r="Q50" s="638"/>
      <c r="R50" s="638"/>
      <c r="S50" s="638"/>
      <c r="T50" s="638"/>
      <c r="U50" s="638"/>
      <c r="V50" s="638"/>
      <c r="W50" s="638"/>
      <c r="X50" s="638"/>
      <c r="Y50" s="638"/>
      <c r="Z50" s="638"/>
      <c r="AA50" s="638"/>
      <c r="AB50" s="638"/>
      <c r="AC50" s="638"/>
      <c r="AD50" s="638"/>
      <c r="AE50" s="638"/>
      <c r="AF50" s="638"/>
      <c r="AG50" s="638"/>
      <c r="AH50" s="638"/>
      <c r="AI50" s="638"/>
      <c r="AJ50" s="638"/>
      <c r="AK50" s="638"/>
    </row>
    <row r="51" spans="1:37" hidden="1" x14ac:dyDescent="0.25">
      <c r="A51" s="638"/>
      <c r="B51" s="638"/>
      <c r="C51" s="623" t="s">
        <v>1758</v>
      </c>
      <c r="D51" s="678">
        <f>IF(D32="NEEN",0,1)</f>
        <v>0</v>
      </c>
      <c r="E51" s="638"/>
      <c r="F51" s="638"/>
      <c r="G51" s="638"/>
      <c r="H51" s="1405" t="s">
        <v>1368</v>
      </c>
      <c r="I51" s="1405"/>
      <c r="J51" s="1405"/>
      <c r="K51" s="1405"/>
      <c r="L51" s="1405"/>
      <c r="M51" s="1405"/>
      <c r="N51" s="1405"/>
      <c r="O51" s="638"/>
      <c r="P51" s="638"/>
      <c r="Q51" s="638"/>
      <c r="R51" s="638"/>
      <c r="S51" s="638"/>
      <c r="T51" s="638"/>
      <c r="U51" s="638"/>
      <c r="V51" s="638"/>
      <c r="W51" s="638"/>
      <c r="X51" s="638"/>
      <c r="Y51" s="638"/>
      <c r="Z51" s="638"/>
      <c r="AA51" s="638"/>
      <c r="AB51" s="638"/>
      <c r="AC51" s="638"/>
      <c r="AD51" s="638"/>
      <c r="AE51" s="638"/>
      <c r="AF51" s="638"/>
      <c r="AG51" s="638"/>
      <c r="AH51" s="638"/>
      <c r="AI51" s="638"/>
      <c r="AJ51" s="638"/>
      <c r="AK51" s="638"/>
    </row>
    <row r="52" spans="1:37" hidden="1" x14ac:dyDescent="0.25">
      <c r="A52" s="638"/>
      <c r="B52" s="638"/>
      <c r="C52" s="623" t="s">
        <v>1488</v>
      </c>
      <c r="D52" s="638">
        <f>SUM(D48:D51)</f>
        <v>3</v>
      </c>
      <c r="E52" s="638"/>
      <c r="F52" s="638"/>
      <c r="G52" s="638"/>
      <c r="H52" s="638"/>
      <c r="I52" s="638"/>
      <c r="J52" s="638"/>
      <c r="K52" s="638"/>
      <c r="L52" s="638"/>
      <c r="M52" s="638"/>
      <c r="N52" s="638"/>
      <c r="O52" s="638"/>
      <c r="P52" s="638"/>
      <c r="Q52" s="638"/>
      <c r="R52" s="638"/>
      <c r="S52" s="638"/>
      <c r="T52" s="638"/>
      <c r="U52" s="638"/>
      <c r="V52" s="638"/>
      <c r="W52" s="638"/>
      <c r="X52" s="638"/>
      <c r="Y52" s="638"/>
      <c r="Z52" s="638"/>
      <c r="AA52" s="638"/>
      <c r="AB52" s="638"/>
      <c r="AC52" s="638"/>
      <c r="AD52" s="638"/>
      <c r="AE52" s="638"/>
      <c r="AF52" s="638"/>
      <c r="AG52" s="638"/>
      <c r="AH52" s="638"/>
      <c r="AI52" s="638"/>
      <c r="AJ52" s="638"/>
      <c r="AK52" s="638"/>
    </row>
    <row r="53" spans="1:37" x14ac:dyDescent="0.25">
      <c r="A53" s="638"/>
      <c r="B53" s="638"/>
      <c r="C53" s="638"/>
      <c r="D53" s="638"/>
      <c r="E53" s="638"/>
      <c r="F53" s="638"/>
      <c r="G53" s="638"/>
      <c r="H53" s="638"/>
      <c r="I53" s="638"/>
      <c r="J53" s="638"/>
      <c r="K53" s="638"/>
      <c r="L53" s="638"/>
      <c r="M53" s="638"/>
      <c r="N53" s="638"/>
      <c r="O53" s="638"/>
      <c r="P53" s="638"/>
      <c r="Q53" s="638"/>
      <c r="R53" s="638"/>
      <c r="S53" s="638"/>
      <c r="T53" s="638"/>
      <c r="U53" s="638"/>
      <c r="V53" s="638"/>
      <c r="W53" s="638"/>
      <c r="X53" s="638"/>
      <c r="Y53" s="638"/>
      <c r="Z53" s="638"/>
      <c r="AA53" s="638"/>
      <c r="AB53" s="638"/>
      <c r="AC53" s="638"/>
      <c r="AD53" s="638"/>
      <c r="AE53" s="638"/>
      <c r="AF53" s="638"/>
      <c r="AG53" s="638"/>
      <c r="AH53" s="638"/>
      <c r="AI53" s="638"/>
      <c r="AJ53" s="638"/>
      <c r="AK53" s="638"/>
    </row>
    <row r="54" spans="1:37" x14ac:dyDescent="0.25">
      <c r="A54" s="638"/>
      <c r="B54" s="638"/>
      <c r="C54" s="638"/>
      <c r="D54" s="638"/>
      <c r="E54" s="638"/>
      <c r="F54" s="638"/>
      <c r="G54" s="638"/>
      <c r="H54" s="638"/>
      <c r="I54" s="638"/>
      <c r="J54" s="638"/>
      <c r="K54" s="638"/>
      <c r="L54" s="638"/>
      <c r="M54" s="638"/>
      <c r="N54" s="638"/>
      <c r="O54" s="638"/>
      <c r="P54" s="638"/>
      <c r="Q54" s="638"/>
      <c r="R54" s="638"/>
      <c r="S54" s="638"/>
      <c r="T54" s="638"/>
      <c r="U54" s="638"/>
      <c r="V54" s="638"/>
      <c r="W54" s="638"/>
      <c r="X54" s="638"/>
      <c r="Y54" s="638"/>
      <c r="Z54" s="638"/>
      <c r="AA54" s="638"/>
      <c r="AB54" s="638"/>
      <c r="AC54" s="638"/>
      <c r="AD54" s="638"/>
      <c r="AE54" s="638"/>
      <c r="AF54" s="638"/>
      <c r="AG54" s="638"/>
      <c r="AH54" s="638"/>
      <c r="AI54" s="638"/>
      <c r="AJ54" s="638"/>
      <c r="AK54" s="638"/>
    </row>
    <row r="55" spans="1:37" x14ac:dyDescent="0.25">
      <c r="A55" s="638"/>
      <c r="B55" s="638"/>
      <c r="C55" s="638"/>
      <c r="D55" s="638"/>
      <c r="E55" s="638"/>
      <c r="F55" s="638"/>
      <c r="G55" s="638"/>
      <c r="H55" s="638"/>
      <c r="I55" s="638"/>
      <c r="J55" s="638"/>
      <c r="K55" s="638"/>
      <c r="L55" s="638"/>
      <c r="M55" s="638"/>
      <c r="N55" s="638"/>
      <c r="O55" s="638"/>
      <c r="P55" s="638"/>
      <c r="Q55" s="638"/>
      <c r="R55" s="638"/>
      <c r="S55" s="638"/>
      <c r="T55" s="638"/>
      <c r="U55" s="638"/>
      <c r="V55" s="638"/>
      <c r="W55" s="638"/>
      <c r="X55" s="638"/>
      <c r="Y55" s="638"/>
      <c r="Z55" s="638"/>
      <c r="AA55" s="638"/>
      <c r="AB55" s="638"/>
      <c r="AC55" s="638"/>
      <c r="AD55" s="638"/>
      <c r="AE55" s="638"/>
      <c r="AF55" s="638"/>
      <c r="AG55" s="638"/>
      <c r="AH55" s="638"/>
      <c r="AI55" s="638"/>
      <c r="AJ55" s="638"/>
      <c r="AK55" s="638"/>
    </row>
    <row r="56" spans="1:37" x14ac:dyDescent="0.25">
      <c r="A56" s="638"/>
      <c r="B56" s="638"/>
      <c r="C56" s="638"/>
      <c r="D56" s="638"/>
      <c r="E56" s="638"/>
      <c r="F56" s="638"/>
      <c r="G56" s="638"/>
      <c r="H56" s="638"/>
      <c r="I56" s="638"/>
      <c r="J56" s="638"/>
      <c r="K56" s="638"/>
      <c r="L56" s="638"/>
      <c r="M56" s="638"/>
      <c r="N56" s="638"/>
      <c r="O56" s="638"/>
      <c r="P56" s="638"/>
      <c r="Q56" s="638"/>
      <c r="R56" s="638"/>
      <c r="S56" s="638"/>
      <c r="T56" s="638"/>
      <c r="U56" s="638"/>
      <c r="V56" s="638"/>
      <c r="W56" s="638"/>
      <c r="X56" s="638"/>
      <c r="Y56" s="638"/>
      <c r="Z56" s="638"/>
      <c r="AA56" s="638"/>
      <c r="AB56" s="638"/>
      <c r="AC56" s="638"/>
      <c r="AD56" s="638"/>
      <c r="AE56" s="638"/>
      <c r="AF56" s="638"/>
      <c r="AG56" s="638"/>
      <c r="AH56" s="638"/>
      <c r="AI56" s="638"/>
      <c r="AJ56" s="638"/>
      <c r="AK56" s="638"/>
    </row>
    <row r="57" spans="1:37" x14ac:dyDescent="0.25">
      <c r="A57" s="638"/>
      <c r="B57" s="638"/>
      <c r="C57" s="638"/>
      <c r="D57" s="638"/>
      <c r="E57" s="638"/>
      <c r="F57" s="638"/>
      <c r="G57" s="638"/>
      <c r="H57" s="638"/>
      <c r="I57" s="638"/>
      <c r="J57" s="638"/>
      <c r="K57" s="638"/>
      <c r="L57" s="638"/>
      <c r="M57" s="638"/>
      <c r="N57" s="638"/>
      <c r="O57" s="638"/>
      <c r="P57" s="638"/>
      <c r="Q57" s="638"/>
      <c r="R57" s="638"/>
      <c r="S57" s="638"/>
      <c r="T57" s="638"/>
      <c r="U57" s="638"/>
      <c r="V57" s="638"/>
      <c r="W57" s="638"/>
      <c r="X57" s="638"/>
      <c r="Y57" s="638"/>
      <c r="Z57" s="638"/>
      <c r="AA57" s="638"/>
      <c r="AB57" s="638"/>
      <c r="AC57" s="638"/>
      <c r="AD57" s="638"/>
      <c r="AE57" s="638"/>
      <c r="AF57" s="638"/>
      <c r="AG57" s="638"/>
      <c r="AH57" s="638"/>
      <c r="AI57" s="638"/>
      <c r="AJ57" s="638"/>
      <c r="AK57" s="638"/>
    </row>
    <row r="58" spans="1:37" x14ac:dyDescent="0.25">
      <c r="A58" s="638"/>
      <c r="B58" s="638"/>
      <c r="C58" s="638"/>
      <c r="D58" s="638"/>
      <c r="E58" s="638"/>
      <c r="F58" s="638"/>
      <c r="G58" s="638"/>
      <c r="H58" s="638"/>
      <c r="I58" s="638"/>
      <c r="J58" s="638"/>
      <c r="K58" s="638"/>
      <c r="L58" s="638"/>
      <c r="M58" s="638"/>
      <c r="N58" s="638"/>
      <c r="O58" s="638"/>
      <c r="P58" s="638"/>
      <c r="Q58" s="638"/>
      <c r="R58" s="638"/>
      <c r="S58" s="638"/>
      <c r="T58" s="638"/>
      <c r="U58" s="638"/>
      <c r="V58" s="638"/>
      <c r="W58" s="638"/>
      <c r="X58" s="638"/>
      <c r="Y58" s="638"/>
      <c r="Z58" s="638"/>
      <c r="AA58" s="638"/>
      <c r="AB58" s="638"/>
      <c r="AC58" s="638"/>
      <c r="AD58" s="638"/>
      <c r="AE58" s="638"/>
      <c r="AF58" s="638"/>
      <c r="AG58" s="638"/>
      <c r="AH58" s="638"/>
      <c r="AI58" s="638"/>
      <c r="AJ58" s="638"/>
      <c r="AK58" s="638"/>
    </row>
    <row r="59" spans="1:37" x14ac:dyDescent="0.25">
      <c r="A59" s="638"/>
      <c r="B59" s="638"/>
      <c r="C59" s="638"/>
      <c r="D59" s="638"/>
      <c r="E59" s="638"/>
      <c r="F59" s="638"/>
      <c r="G59" s="638"/>
      <c r="H59" s="638"/>
      <c r="I59" s="638"/>
      <c r="J59" s="638"/>
      <c r="K59" s="638"/>
      <c r="L59" s="638"/>
      <c r="M59" s="638"/>
      <c r="N59" s="638"/>
      <c r="O59" s="638"/>
      <c r="P59" s="638"/>
      <c r="Q59" s="638"/>
      <c r="R59" s="638"/>
      <c r="S59" s="638"/>
      <c r="T59" s="638"/>
      <c r="U59" s="638"/>
      <c r="V59" s="638"/>
      <c r="W59" s="638"/>
      <c r="X59" s="638"/>
      <c r="Y59" s="638"/>
      <c r="Z59" s="638"/>
      <c r="AA59" s="638"/>
      <c r="AB59" s="638"/>
      <c r="AC59" s="638"/>
      <c r="AD59" s="638"/>
      <c r="AE59" s="638"/>
      <c r="AF59" s="638"/>
      <c r="AG59" s="638"/>
      <c r="AH59" s="638"/>
      <c r="AI59" s="638"/>
      <c r="AJ59" s="638"/>
      <c r="AK59" s="638"/>
    </row>
    <row r="60" spans="1:37" x14ac:dyDescent="0.25">
      <c r="A60" s="638"/>
      <c r="B60" s="638"/>
      <c r="C60" s="638"/>
      <c r="D60" s="638"/>
      <c r="E60" s="638"/>
      <c r="F60" s="638"/>
      <c r="G60" s="638"/>
      <c r="H60" s="638"/>
      <c r="I60" s="638"/>
      <c r="J60" s="638"/>
      <c r="K60" s="638"/>
      <c r="L60" s="638"/>
      <c r="M60" s="638"/>
      <c r="N60" s="638"/>
      <c r="O60" s="638"/>
      <c r="P60" s="638"/>
      <c r="Q60" s="638"/>
      <c r="R60" s="638"/>
      <c r="S60" s="638"/>
      <c r="T60" s="638"/>
      <c r="U60" s="638"/>
      <c r="V60" s="638"/>
      <c r="W60" s="638"/>
      <c r="X60" s="638"/>
      <c r="Y60" s="638"/>
      <c r="Z60" s="638"/>
      <c r="AA60" s="638"/>
      <c r="AB60" s="638"/>
      <c r="AC60" s="638"/>
      <c r="AD60" s="638"/>
      <c r="AE60" s="638"/>
      <c r="AF60" s="638"/>
      <c r="AG60" s="638"/>
      <c r="AH60" s="638"/>
      <c r="AI60" s="638"/>
      <c r="AJ60" s="638"/>
      <c r="AK60" s="638"/>
    </row>
    <row r="61" spans="1:37" x14ac:dyDescent="0.25">
      <c r="A61" s="638"/>
      <c r="B61" s="638"/>
      <c r="C61" s="638"/>
      <c r="D61" s="638"/>
      <c r="E61" s="638"/>
      <c r="F61" s="638"/>
      <c r="G61" s="638"/>
      <c r="H61" s="638"/>
      <c r="I61" s="638"/>
      <c r="J61" s="638"/>
      <c r="K61" s="638"/>
      <c r="L61" s="638"/>
      <c r="M61" s="638"/>
      <c r="N61" s="638"/>
      <c r="O61" s="638"/>
      <c r="P61" s="638"/>
      <c r="Q61" s="638"/>
      <c r="R61" s="638"/>
      <c r="S61" s="638"/>
      <c r="T61" s="638"/>
      <c r="U61" s="638"/>
      <c r="V61" s="638"/>
      <c r="W61" s="638"/>
      <c r="X61" s="638"/>
      <c r="Y61" s="638"/>
      <c r="Z61" s="638"/>
      <c r="AA61" s="638"/>
      <c r="AB61" s="638"/>
      <c r="AC61" s="638"/>
      <c r="AD61" s="638"/>
      <c r="AE61" s="638"/>
      <c r="AF61" s="638"/>
      <c r="AG61" s="638"/>
      <c r="AH61" s="638"/>
      <c r="AI61" s="638"/>
      <c r="AJ61" s="638"/>
      <c r="AK61" s="638"/>
    </row>
    <row r="62" spans="1:37" x14ac:dyDescent="0.25">
      <c r="A62" s="638"/>
      <c r="B62" s="638"/>
      <c r="C62" s="638"/>
      <c r="D62" s="638"/>
      <c r="E62" s="638"/>
      <c r="F62" s="638"/>
      <c r="G62" s="638"/>
      <c r="H62" s="638"/>
      <c r="I62" s="638"/>
      <c r="J62" s="638"/>
      <c r="K62" s="638"/>
      <c r="L62" s="638"/>
      <c r="M62" s="638"/>
      <c r="N62" s="638"/>
      <c r="O62" s="638"/>
      <c r="P62" s="638"/>
      <c r="Q62" s="638"/>
      <c r="R62" s="638"/>
      <c r="S62" s="638"/>
      <c r="T62" s="638"/>
      <c r="U62" s="638"/>
      <c r="V62" s="638"/>
      <c r="W62" s="638"/>
      <c r="X62" s="638"/>
      <c r="Y62" s="638"/>
      <c r="Z62" s="638"/>
      <c r="AA62" s="638"/>
      <c r="AB62" s="638"/>
      <c r="AC62" s="638"/>
      <c r="AD62" s="638"/>
      <c r="AE62" s="638"/>
      <c r="AF62" s="638"/>
      <c r="AG62" s="638"/>
      <c r="AH62" s="638"/>
      <c r="AI62" s="638"/>
      <c r="AJ62" s="638"/>
      <c r="AK62" s="638"/>
    </row>
    <row r="63" spans="1:37" x14ac:dyDescent="0.25">
      <c r="A63" s="638"/>
      <c r="B63" s="638"/>
      <c r="C63" s="638"/>
      <c r="D63" s="638"/>
      <c r="E63" s="638"/>
      <c r="F63" s="638"/>
      <c r="G63" s="638"/>
      <c r="H63" s="638"/>
      <c r="I63" s="638"/>
      <c r="J63" s="638"/>
      <c r="K63" s="638"/>
      <c r="L63" s="638"/>
      <c r="M63" s="638"/>
      <c r="N63" s="638"/>
      <c r="O63" s="638"/>
      <c r="P63" s="638"/>
      <c r="Q63" s="638"/>
      <c r="R63" s="638"/>
      <c r="S63" s="638"/>
      <c r="T63" s="638"/>
      <c r="U63" s="638"/>
      <c r="V63" s="638"/>
      <c r="W63" s="638"/>
      <c r="X63" s="638"/>
      <c r="Y63" s="638"/>
      <c r="Z63" s="638"/>
      <c r="AA63" s="638"/>
      <c r="AB63" s="638"/>
      <c r="AC63" s="638"/>
      <c r="AD63" s="638"/>
      <c r="AE63" s="638"/>
      <c r="AF63" s="638"/>
      <c r="AG63" s="638"/>
      <c r="AH63" s="638"/>
      <c r="AI63" s="638"/>
      <c r="AJ63" s="638"/>
      <c r="AK63" s="638"/>
    </row>
    <row r="64" spans="1:37" x14ac:dyDescent="0.25">
      <c r="A64" s="638"/>
      <c r="B64" s="638"/>
      <c r="C64" s="638"/>
      <c r="D64" s="638"/>
      <c r="E64" s="638"/>
      <c r="F64" s="638"/>
      <c r="G64" s="638"/>
      <c r="H64" s="638"/>
      <c r="I64" s="638"/>
      <c r="J64" s="638"/>
      <c r="K64" s="638"/>
      <c r="L64" s="638"/>
      <c r="M64" s="638"/>
      <c r="N64" s="638"/>
      <c r="O64" s="638"/>
      <c r="P64" s="638"/>
      <c r="Q64" s="638"/>
      <c r="R64" s="638"/>
      <c r="S64" s="638"/>
      <c r="T64" s="638"/>
      <c r="U64" s="638"/>
      <c r="V64" s="638"/>
      <c r="W64" s="638"/>
      <c r="X64" s="638"/>
      <c r="Y64" s="638"/>
      <c r="Z64" s="638"/>
      <c r="AA64" s="638"/>
      <c r="AB64" s="638"/>
      <c r="AC64" s="638"/>
      <c r="AD64" s="638"/>
      <c r="AE64" s="638"/>
      <c r="AF64" s="638"/>
      <c r="AG64" s="638"/>
      <c r="AH64" s="638"/>
      <c r="AI64" s="638"/>
      <c r="AJ64" s="638"/>
      <c r="AK64" s="638"/>
    </row>
    <row r="65" spans="1:37" x14ac:dyDescent="0.25">
      <c r="A65" s="638"/>
      <c r="B65" s="638"/>
      <c r="C65" s="638"/>
      <c r="D65" s="638"/>
      <c r="E65" s="638"/>
      <c r="F65" s="638"/>
      <c r="G65" s="638"/>
      <c r="H65" s="638"/>
      <c r="I65" s="638"/>
      <c r="J65" s="638"/>
      <c r="K65" s="638"/>
      <c r="L65" s="638"/>
      <c r="M65" s="638"/>
      <c r="N65" s="638"/>
      <c r="O65" s="638"/>
      <c r="P65" s="638"/>
      <c r="Q65" s="638"/>
      <c r="R65" s="638"/>
      <c r="S65" s="638"/>
      <c r="T65" s="638"/>
      <c r="U65" s="638"/>
      <c r="V65" s="638"/>
      <c r="W65" s="638"/>
      <c r="X65" s="638"/>
      <c r="Y65" s="638"/>
      <c r="Z65" s="638"/>
      <c r="AA65" s="638"/>
      <c r="AB65" s="638"/>
      <c r="AC65" s="638"/>
      <c r="AD65" s="638"/>
      <c r="AE65" s="638"/>
      <c r="AF65" s="638"/>
      <c r="AG65" s="638"/>
      <c r="AH65" s="638"/>
      <c r="AI65" s="638"/>
      <c r="AJ65" s="638"/>
      <c r="AK65" s="638"/>
    </row>
    <row r="66" spans="1:37" x14ac:dyDescent="0.25">
      <c r="A66" s="638"/>
      <c r="B66" s="638"/>
      <c r="C66" s="638"/>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8"/>
      <c r="AD66" s="638"/>
      <c r="AE66" s="638"/>
      <c r="AF66" s="638"/>
      <c r="AG66" s="638"/>
      <c r="AH66" s="638"/>
      <c r="AI66" s="638"/>
      <c r="AJ66" s="638"/>
      <c r="AK66" s="638"/>
    </row>
    <row r="67" spans="1:37" x14ac:dyDescent="0.25">
      <c r="A67" s="638"/>
      <c r="B67" s="638"/>
      <c r="C67" s="638"/>
      <c r="D67" s="638"/>
      <c r="E67" s="638"/>
      <c r="F67" s="638"/>
      <c r="G67" s="638"/>
      <c r="H67" s="638"/>
      <c r="I67" s="638"/>
      <c r="J67" s="638"/>
      <c r="K67" s="638"/>
      <c r="L67" s="638"/>
      <c r="M67" s="638"/>
      <c r="N67" s="638"/>
      <c r="O67" s="638"/>
      <c r="P67" s="638"/>
      <c r="Q67" s="638"/>
      <c r="R67" s="638"/>
      <c r="S67" s="638"/>
      <c r="T67" s="638"/>
      <c r="U67" s="638"/>
      <c r="V67" s="638"/>
      <c r="W67" s="638"/>
      <c r="X67" s="638"/>
      <c r="Y67" s="638"/>
      <c r="Z67" s="638"/>
      <c r="AA67" s="638"/>
      <c r="AB67" s="638"/>
      <c r="AC67" s="638"/>
      <c r="AD67" s="638"/>
      <c r="AE67" s="638"/>
      <c r="AF67" s="638"/>
      <c r="AG67" s="638"/>
      <c r="AH67" s="638"/>
      <c r="AI67" s="638"/>
      <c r="AJ67" s="638"/>
      <c r="AK67" s="638"/>
    </row>
    <row r="68" spans="1:37" x14ac:dyDescent="0.25">
      <c r="A68" s="638"/>
      <c r="B68" s="638"/>
      <c r="C68" s="638"/>
      <c r="D68" s="638"/>
      <c r="E68" s="638"/>
      <c r="F68" s="638"/>
      <c r="G68" s="638"/>
      <c r="H68" s="638"/>
      <c r="I68" s="638"/>
      <c r="J68" s="638"/>
      <c r="K68" s="638"/>
      <c r="L68" s="638"/>
      <c r="M68" s="638"/>
      <c r="N68" s="638"/>
      <c r="O68" s="638"/>
      <c r="P68" s="638"/>
      <c r="Q68" s="638"/>
      <c r="R68" s="638"/>
      <c r="S68" s="638"/>
      <c r="T68" s="638"/>
      <c r="U68" s="638"/>
      <c r="V68" s="638"/>
      <c r="W68" s="638"/>
      <c r="X68" s="638"/>
      <c r="Y68" s="638"/>
      <c r="Z68" s="638"/>
      <c r="AA68" s="638"/>
      <c r="AB68" s="638"/>
      <c r="AC68" s="638"/>
      <c r="AD68" s="638"/>
      <c r="AE68" s="638"/>
      <c r="AF68" s="638"/>
      <c r="AG68" s="638"/>
      <c r="AH68" s="638"/>
      <c r="AI68" s="638"/>
      <c r="AJ68" s="638"/>
      <c r="AK68" s="638"/>
    </row>
    <row r="69" spans="1:37" x14ac:dyDescent="0.25">
      <c r="A69" s="638"/>
      <c r="B69" s="638"/>
      <c r="C69" s="638"/>
      <c r="D69" s="638"/>
      <c r="E69" s="638"/>
      <c r="F69" s="638"/>
      <c r="G69" s="638"/>
      <c r="H69" s="638"/>
      <c r="I69" s="638"/>
      <c r="J69" s="638"/>
      <c r="K69" s="638"/>
      <c r="L69" s="638"/>
      <c r="M69" s="638"/>
      <c r="N69" s="638"/>
      <c r="O69" s="638"/>
      <c r="P69" s="638"/>
      <c r="Q69" s="638"/>
      <c r="R69" s="638"/>
      <c r="S69" s="638"/>
      <c r="T69" s="638"/>
      <c r="U69" s="638"/>
      <c r="V69" s="638"/>
      <c r="W69" s="638"/>
      <c r="X69" s="638"/>
      <c r="Y69" s="638"/>
      <c r="Z69" s="638"/>
      <c r="AA69" s="638"/>
      <c r="AB69" s="638"/>
      <c r="AC69" s="638"/>
      <c r="AD69" s="638"/>
      <c r="AE69" s="638"/>
      <c r="AF69" s="638"/>
      <c r="AG69" s="638"/>
      <c r="AH69" s="638"/>
      <c r="AI69" s="638"/>
      <c r="AJ69" s="638"/>
      <c r="AK69" s="638"/>
    </row>
    <row r="70" spans="1:37" x14ac:dyDescent="0.25">
      <c r="A70" s="638"/>
      <c r="B70" s="638"/>
      <c r="C70" s="638"/>
      <c r="D70" s="638"/>
      <c r="E70" s="638"/>
      <c r="F70" s="638"/>
      <c r="G70" s="638"/>
      <c r="H70" s="638"/>
      <c r="I70" s="638"/>
      <c r="J70" s="638"/>
      <c r="K70" s="638"/>
      <c r="L70" s="638"/>
      <c r="M70" s="638"/>
      <c r="N70" s="638"/>
      <c r="O70" s="638"/>
      <c r="P70" s="638"/>
      <c r="Q70" s="638"/>
      <c r="R70" s="638"/>
      <c r="S70" s="638"/>
      <c r="T70" s="638"/>
      <c r="U70" s="638"/>
      <c r="V70" s="638"/>
      <c r="W70" s="638"/>
      <c r="X70" s="638"/>
      <c r="Y70" s="638"/>
      <c r="Z70" s="638"/>
      <c r="AA70" s="638"/>
      <c r="AB70" s="638"/>
      <c r="AC70" s="638"/>
      <c r="AD70" s="638"/>
      <c r="AE70" s="638"/>
      <c r="AF70" s="638"/>
      <c r="AG70" s="638"/>
      <c r="AH70" s="638"/>
      <c r="AI70" s="638"/>
      <c r="AJ70" s="638"/>
      <c r="AK70" s="638"/>
    </row>
    <row r="71" spans="1:37" x14ac:dyDescent="0.25">
      <c r="A71" s="638"/>
      <c r="B71" s="638"/>
      <c r="C71" s="638"/>
      <c r="D71" s="638"/>
      <c r="E71" s="638"/>
      <c r="F71" s="638"/>
      <c r="G71" s="638"/>
      <c r="H71" s="638"/>
      <c r="I71" s="638"/>
      <c r="J71" s="638"/>
      <c r="K71" s="638"/>
      <c r="L71" s="638"/>
      <c r="M71" s="638"/>
      <c r="N71" s="638"/>
      <c r="O71" s="638"/>
      <c r="P71" s="638"/>
      <c r="Q71" s="638"/>
      <c r="R71" s="638"/>
      <c r="S71" s="638"/>
      <c r="T71" s="638"/>
      <c r="U71" s="638"/>
      <c r="V71" s="638"/>
      <c r="W71" s="638"/>
      <c r="X71" s="638"/>
      <c r="Y71" s="638"/>
      <c r="Z71" s="638"/>
      <c r="AA71" s="638"/>
      <c r="AB71" s="638"/>
      <c r="AC71" s="638"/>
      <c r="AD71" s="638"/>
      <c r="AE71" s="638"/>
      <c r="AF71" s="638"/>
      <c r="AG71" s="638"/>
      <c r="AH71" s="638"/>
      <c r="AI71" s="638"/>
      <c r="AJ71" s="638"/>
      <c r="AK71" s="638"/>
    </row>
    <row r="72" spans="1:37" x14ac:dyDescent="0.25">
      <c r="A72" s="638"/>
      <c r="B72" s="638"/>
      <c r="C72" s="638"/>
      <c r="D72" s="638"/>
      <c r="E72" s="638"/>
      <c r="F72" s="638"/>
      <c r="G72" s="638"/>
      <c r="H72" s="638"/>
      <c r="I72" s="638"/>
      <c r="J72" s="638"/>
      <c r="K72" s="638"/>
      <c r="L72" s="638"/>
      <c r="M72" s="638"/>
      <c r="N72" s="638"/>
      <c r="O72" s="638"/>
      <c r="P72" s="638"/>
      <c r="Q72" s="638"/>
      <c r="R72" s="638"/>
      <c r="S72" s="638"/>
      <c r="T72" s="638"/>
      <c r="U72" s="638"/>
      <c r="V72" s="638"/>
      <c r="W72" s="638"/>
      <c r="X72" s="638"/>
      <c r="Y72" s="638"/>
      <c r="Z72" s="638"/>
      <c r="AA72" s="638"/>
      <c r="AB72" s="638"/>
      <c r="AC72" s="638"/>
      <c r="AD72" s="638"/>
      <c r="AE72" s="638"/>
      <c r="AF72" s="638"/>
      <c r="AG72" s="638"/>
      <c r="AH72" s="638"/>
      <c r="AI72" s="638"/>
      <c r="AJ72" s="638"/>
      <c r="AK72" s="638"/>
    </row>
    <row r="73" spans="1:37" x14ac:dyDescent="0.25">
      <c r="A73" s="638"/>
      <c r="B73" s="638"/>
      <c r="C73" s="638"/>
      <c r="D73" s="638"/>
      <c r="E73" s="638"/>
      <c r="F73" s="638"/>
      <c r="G73" s="638"/>
      <c r="H73" s="638"/>
      <c r="I73" s="638"/>
      <c r="J73" s="638"/>
      <c r="K73" s="638"/>
      <c r="L73" s="638"/>
      <c r="M73" s="638"/>
      <c r="N73" s="638"/>
      <c r="O73" s="638"/>
      <c r="P73" s="638"/>
      <c r="Q73" s="638"/>
      <c r="R73" s="638"/>
      <c r="S73" s="638"/>
      <c r="T73" s="638"/>
      <c r="U73" s="638"/>
      <c r="V73" s="638"/>
      <c r="W73" s="638"/>
      <c r="X73" s="638"/>
      <c r="Y73" s="638"/>
      <c r="Z73" s="638"/>
      <c r="AA73" s="638"/>
      <c r="AB73" s="638"/>
      <c r="AC73" s="638"/>
      <c r="AD73" s="638"/>
      <c r="AE73" s="638"/>
      <c r="AF73" s="638"/>
      <c r="AG73" s="638"/>
      <c r="AH73" s="638"/>
      <c r="AI73" s="638"/>
      <c r="AJ73" s="638"/>
      <c r="AK73" s="638"/>
    </row>
    <row r="74" spans="1:37" x14ac:dyDescent="0.25">
      <c r="A74" s="638"/>
      <c r="B74" s="638"/>
      <c r="C74" s="638"/>
      <c r="D74" s="638"/>
      <c r="E74" s="638"/>
      <c r="F74" s="638"/>
      <c r="G74" s="638"/>
      <c r="H74" s="638"/>
      <c r="I74" s="638"/>
      <c r="J74" s="638"/>
      <c r="K74" s="638"/>
      <c r="L74" s="638"/>
      <c r="M74" s="638"/>
      <c r="N74" s="638"/>
      <c r="O74" s="638"/>
      <c r="P74" s="638"/>
      <c r="Q74" s="638"/>
      <c r="R74" s="638"/>
      <c r="S74" s="638"/>
      <c r="T74" s="638"/>
      <c r="U74" s="638"/>
      <c r="V74" s="638"/>
      <c r="W74" s="638"/>
      <c r="X74" s="638"/>
      <c r="Y74" s="638"/>
      <c r="Z74" s="638"/>
      <c r="AA74" s="638"/>
      <c r="AB74" s="638"/>
      <c r="AC74" s="638"/>
      <c r="AD74" s="638"/>
      <c r="AE74" s="638"/>
      <c r="AF74" s="638"/>
      <c r="AG74" s="638"/>
      <c r="AH74" s="638"/>
      <c r="AI74" s="638"/>
      <c r="AJ74" s="638"/>
      <c r="AK74" s="638"/>
    </row>
  </sheetData>
  <sheetProtection password="C534" sheet="1" objects="1" scenarios="1" selectLockedCells="1"/>
  <mergeCells count="31">
    <mergeCell ref="H51:N51"/>
    <mergeCell ref="J2:L2"/>
    <mergeCell ref="A1:E1"/>
    <mergeCell ref="A2:E2"/>
    <mergeCell ref="A4:E4"/>
    <mergeCell ref="L16:M16"/>
    <mergeCell ref="L8:M8"/>
    <mergeCell ref="A7:A18"/>
    <mergeCell ref="L17:M17"/>
    <mergeCell ref="D9:E9"/>
    <mergeCell ref="D10:E10"/>
    <mergeCell ref="D25:I25"/>
    <mergeCell ref="D22:E22"/>
    <mergeCell ref="D7:E7"/>
    <mergeCell ref="A19:A22"/>
    <mergeCell ref="D21:E21"/>
    <mergeCell ref="G6:H6"/>
    <mergeCell ref="D26:I26"/>
    <mergeCell ref="D24:H24"/>
    <mergeCell ref="D13:E13"/>
    <mergeCell ref="D14:E14"/>
    <mergeCell ref="D15:E15"/>
    <mergeCell ref="D18:E18"/>
    <mergeCell ref="D19:E19"/>
    <mergeCell ref="D16:E16"/>
    <mergeCell ref="D20:E20"/>
    <mergeCell ref="D6:E6"/>
    <mergeCell ref="D17:E17"/>
    <mergeCell ref="D8:E8"/>
    <mergeCell ref="D11:E11"/>
    <mergeCell ref="D12:E12"/>
  </mergeCells>
  <phoneticPr fontId="2" type="noConversion"/>
  <conditionalFormatting sqref="D7:E18">
    <cfRule type="cellIs" dxfId="28" priority="1" stopIfTrue="1" operator="notEqual">
      <formula>"Maak uw keuze"</formula>
    </cfRule>
  </conditionalFormatting>
  <conditionalFormatting sqref="D19:E22">
    <cfRule type="cellIs" dxfId="27" priority="2" stopIfTrue="1" operator="equal">
      <formula>"Niet van toepassing"</formula>
    </cfRule>
    <cfRule type="cellIs" dxfId="26" priority="3" stopIfTrue="1" operator="notEqual">
      <formula>"maak uw keuze"</formula>
    </cfRule>
  </conditionalFormatting>
  <dataValidations count="1">
    <dataValidation type="list" allowBlank="1" showInputMessage="1" showErrorMessage="1" sqref="D7:E22" xr:uid="{00000000-0002-0000-0300-000000000000}">
      <formula1>"Maak uw keuze,Neen,Ja,Niet van toepassing"</formula1>
    </dataValidation>
  </dataValidations>
  <hyperlinks>
    <hyperlink ref="C10" location="Toiletten!A1" display="Zijn er voldoende toiletten voorzien voor de manifestatie (vaste en indien nodig mobiele toiletten).  " xr:uid="{00000000-0004-0000-0300-000000000000}"/>
  </hyperlinks>
  <pageMargins left="0.75" right="0.75" top="0.61" bottom="0.3" header="0.5" footer="0.24"/>
  <pageSetup paperSize="9" scale="73" orientation="landscape" verticalDpi="2" r:id="rId1"/>
  <headerFooter alignWithMargins="0"/>
  <drawing r:id="rId2"/>
  <legacyDrawing r:id="rId3"/>
  <controls>
    <mc:AlternateContent xmlns:mc="http://schemas.openxmlformats.org/markup-compatibility/2006">
      <mc:Choice Requires="x14">
        <control shapeId="16406" r:id="rId4" name="CommandButton2">
          <controlPr defaultSize="0" autoFill="0" autoLine="0" r:id="rId5">
            <anchor moveWithCells="1">
              <from>
                <xdr:col>4</xdr:col>
                <xdr:colOff>127000</xdr:colOff>
                <xdr:row>27</xdr:row>
                <xdr:rowOff>31750</xdr:rowOff>
              </from>
              <to>
                <xdr:col>11</xdr:col>
                <xdr:colOff>1263650</xdr:colOff>
                <xdr:row>32</xdr:row>
                <xdr:rowOff>12700</xdr:rowOff>
              </to>
            </anchor>
          </controlPr>
        </control>
      </mc:Choice>
      <mc:Fallback>
        <control shapeId="16406" r:id="rId4" name="CommandButton2"/>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4">
    <tabColor indexed="10"/>
  </sheetPr>
  <dimension ref="A1:Z196"/>
  <sheetViews>
    <sheetView topLeftCell="A76" zoomScale="75" zoomScaleNormal="100" workbookViewId="0">
      <selection activeCell="E104" sqref="E104"/>
    </sheetView>
  </sheetViews>
  <sheetFormatPr defaultColWidth="9.1796875" defaultRowHeight="12.5" x14ac:dyDescent="0.25"/>
  <cols>
    <col min="1" max="1" width="2.7265625" style="514" customWidth="1"/>
    <col min="2" max="2" width="22.1796875" style="516" customWidth="1"/>
    <col min="3" max="3" width="4.7265625" style="516" customWidth="1"/>
    <col min="4" max="4" width="33.81640625" style="516" bestFit="1" customWidth="1"/>
    <col min="5" max="5" width="52.54296875" style="516" customWidth="1"/>
    <col min="6" max="7" width="16.54296875" style="516" customWidth="1"/>
    <col min="8" max="8" width="1.26953125" style="514" customWidth="1"/>
    <col min="9" max="9" width="15.7265625" style="516" hidden="1" customWidth="1"/>
    <col min="10" max="10" width="22" style="627" hidden="1" customWidth="1"/>
    <col min="11" max="11" width="4.453125" style="516" hidden="1" customWidth="1"/>
    <col min="12" max="12" width="38.1796875" style="516" hidden="1" customWidth="1"/>
    <col min="13" max="13" width="6.26953125" style="516" hidden="1" customWidth="1"/>
    <col min="14" max="14" width="4.7265625" style="516" hidden="1" customWidth="1"/>
    <col min="15" max="15" width="3.7265625" style="516" hidden="1" customWidth="1"/>
    <col min="16" max="16" width="4.453125" style="516" hidden="1" customWidth="1"/>
    <col min="17" max="17" width="4.7265625" style="516" hidden="1" customWidth="1"/>
    <col min="18" max="18" width="17.26953125" style="514" bestFit="1" customWidth="1"/>
    <col min="19" max="19" width="61.26953125" style="514" bestFit="1" customWidth="1"/>
    <col min="20" max="26" width="9.1796875" style="514"/>
    <col min="27" max="16384" width="9.1796875" style="516"/>
  </cols>
  <sheetData>
    <row r="1" spans="1:19" ht="31.5" thickBot="1" x14ac:dyDescent="0.3">
      <c r="A1" s="1422" t="s">
        <v>940</v>
      </c>
      <c r="B1" s="1423"/>
      <c r="C1" s="1423"/>
      <c r="D1" s="1423"/>
      <c r="E1" s="1423"/>
      <c r="F1" s="1423"/>
      <c r="G1" s="1423"/>
      <c r="H1" s="1423"/>
      <c r="I1" s="277" t="s">
        <v>2125</v>
      </c>
      <c r="J1" s="277" t="s">
        <v>2124</v>
      </c>
      <c r="K1" s="514"/>
      <c r="L1" s="515"/>
      <c r="M1" s="514"/>
      <c r="N1" s="514"/>
      <c r="O1" s="514"/>
      <c r="P1" s="515"/>
      <c r="Q1" s="514"/>
    </row>
    <row r="2" spans="1:19" ht="13" thickBot="1" x14ac:dyDescent="0.3">
      <c r="B2" s="514"/>
      <c r="C2" s="514"/>
      <c r="D2" s="514"/>
      <c r="E2" s="514"/>
      <c r="F2" s="514"/>
      <c r="G2" s="514"/>
      <c r="I2" s="514"/>
      <c r="J2" s="517"/>
      <c r="K2" s="514"/>
      <c r="L2" s="514"/>
      <c r="M2" s="514"/>
      <c r="N2" s="514"/>
      <c r="O2" s="514"/>
      <c r="P2" s="550"/>
      <c r="Q2" s="514"/>
    </row>
    <row r="3" spans="1:19" ht="26.25" customHeight="1" thickBot="1" x14ac:dyDescent="0.3">
      <c r="A3" s="1475" t="s">
        <v>1580</v>
      </c>
      <c r="B3" s="1476"/>
      <c r="C3" s="1476"/>
      <c r="D3" s="1476"/>
      <c r="E3" s="1476"/>
      <c r="F3" s="1476"/>
      <c r="G3" s="1476"/>
      <c r="H3" s="771"/>
      <c r="I3" s="1436" t="s">
        <v>2126</v>
      </c>
      <c r="J3" s="1437"/>
      <c r="K3" s="514"/>
      <c r="L3" s="518" t="str">
        <f>'LUIK 1 - AANVRAAG'!M3</f>
        <v>VERSIE 25 - 2011 02 18</v>
      </c>
      <c r="M3" s="514"/>
      <c r="N3" s="514"/>
      <c r="O3" s="514"/>
      <c r="P3" s="764"/>
      <c r="Q3" s="514"/>
      <c r="R3" s="1458" t="str">
        <f>'LUIK 1 - AANVRAAG'!M3</f>
        <v>VERSIE 25 - 2011 02 18</v>
      </c>
      <c r="S3" s="1459"/>
    </row>
    <row r="4" spans="1:19" ht="13" thickBot="1" x14ac:dyDescent="0.3">
      <c r="B4" s="514"/>
      <c r="C4" s="514"/>
      <c r="D4" s="514"/>
      <c r="E4" s="514"/>
      <c r="F4" s="514"/>
      <c r="G4" s="514"/>
      <c r="I4" s="514"/>
      <c r="J4" s="517"/>
      <c r="K4" s="514"/>
      <c r="L4" s="514"/>
      <c r="M4" s="514"/>
      <c r="N4" s="514"/>
      <c r="O4" s="514"/>
      <c r="P4" s="550"/>
      <c r="Q4" s="514"/>
    </row>
    <row r="5" spans="1:19" ht="13.5" thickBot="1" x14ac:dyDescent="0.35">
      <c r="B5" s="519" t="s">
        <v>1511</v>
      </c>
      <c r="C5" s="520" t="s">
        <v>1512</v>
      </c>
      <c r="D5" s="520" t="s">
        <v>1692</v>
      </c>
      <c r="E5" s="1473" t="s">
        <v>1771</v>
      </c>
      <c r="F5" s="1473"/>
      <c r="G5" s="1474"/>
      <c r="I5" s="521" t="s">
        <v>1772</v>
      </c>
      <c r="J5" s="522" t="s">
        <v>169</v>
      </c>
      <c r="K5" s="514"/>
      <c r="L5" s="1462"/>
      <c r="M5" s="1462"/>
      <c r="N5" s="514"/>
      <c r="O5" s="514"/>
      <c r="P5" s="550"/>
      <c r="Q5" s="514"/>
      <c r="R5" s="1388" t="s">
        <v>2279</v>
      </c>
      <c r="S5" s="1389"/>
    </row>
    <row r="6" spans="1:19" ht="24.75" customHeight="1" x14ac:dyDescent="0.3">
      <c r="B6" s="1446" t="s">
        <v>1773</v>
      </c>
      <c r="C6" s="523">
        <v>1</v>
      </c>
      <c r="D6" s="524" t="s">
        <v>1774</v>
      </c>
      <c r="E6" s="792">
        <f>'LUIK 2 - RISICOVRAAG'!D4</f>
        <v>0</v>
      </c>
      <c r="F6" s="1433"/>
      <c r="G6" s="1434"/>
      <c r="H6" s="756"/>
      <c r="I6" s="525">
        <f>E6</f>
        <v>0</v>
      </c>
      <c r="J6" s="526">
        <f>I6</f>
        <v>0</v>
      </c>
      <c r="K6" s="514"/>
      <c r="L6" s="861"/>
      <c r="M6" s="787"/>
      <c r="N6" s="514"/>
      <c r="O6" s="514"/>
      <c r="P6" s="514"/>
      <c r="Q6" s="514"/>
      <c r="R6" s="700" t="s">
        <v>1986</v>
      </c>
      <c r="S6" s="702" t="s">
        <v>2277</v>
      </c>
    </row>
    <row r="7" spans="1:19" ht="24.75" customHeight="1" thickBot="1" x14ac:dyDescent="0.35">
      <c r="B7" s="1442"/>
      <c r="C7" s="527">
        <v>2</v>
      </c>
      <c r="D7" s="528" t="s">
        <v>1778</v>
      </c>
      <c r="E7" s="792">
        <f>'LUIK 2 - RISICOVRAAG'!D5</f>
        <v>0</v>
      </c>
      <c r="F7" s="1433"/>
      <c r="G7" s="1434"/>
      <c r="H7" s="756"/>
      <c r="I7" s="529">
        <f>E7</f>
        <v>0</v>
      </c>
      <c r="J7" s="530">
        <f>I7</f>
        <v>0</v>
      </c>
      <c r="K7" s="514"/>
      <c r="L7" s="861"/>
      <c r="M7" s="787"/>
      <c r="N7" s="514"/>
      <c r="O7" s="514"/>
      <c r="P7" s="514"/>
      <c r="Q7" s="514"/>
      <c r="R7" s="696" t="s">
        <v>1985</v>
      </c>
      <c r="S7" s="703" t="s">
        <v>2278</v>
      </c>
    </row>
    <row r="8" spans="1:19" ht="25" x14ac:dyDescent="0.3">
      <c r="B8" s="693" t="s">
        <v>1781</v>
      </c>
      <c r="C8" s="527">
        <v>3</v>
      </c>
      <c r="D8" s="528" t="s">
        <v>1782</v>
      </c>
      <c r="E8" s="312" t="s">
        <v>1540</v>
      </c>
      <c r="F8" s="757"/>
      <c r="G8" s="758"/>
      <c r="H8" s="756"/>
      <c r="I8" s="467"/>
      <c r="J8" s="468">
        <f>IF(E8="Aparte aanrijroute voor hulpdiensten",10,IF(E8="geen aparte aanrijroute voor hulpdiensten en meerdere grote aanrijroutes",8,IF(E8="Geen aparte aanrijroute voor hulpdiensten en beperkte toegang voor hulpdiensten en bezoekers",5,0)))</f>
        <v>0</v>
      </c>
      <c r="K8" s="514"/>
      <c r="L8" s="787"/>
      <c r="M8" s="787"/>
      <c r="N8" s="514"/>
      <c r="O8" s="514"/>
      <c r="P8" s="514"/>
      <c r="Q8" s="514"/>
      <c r="R8" s="697" t="s">
        <v>2269</v>
      </c>
      <c r="S8" s="703" t="s">
        <v>2270</v>
      </c>
    </row>
    <row r="9" spans="1:19" ht="25" x14ac:dyDescent="0.3">
      <c r="B9" s="693" t="s">
        <v>1790</v>
      </c>
      <c r="C9" s="527">
        <v>5</v>
      </c>
      <c r="D9" s="528" t="s">
        <v>758</v>
      </c>
      <c r="E9" s="1130">
        <v>0</v>
      </c>
      <c r="F9" s="757"/>
      <c r="G9" s="758"/>
      <c r="H9" s="756"/>
      <c r="I9" s="532">
        <f>E9</f>
        <v>0</v>
      </c>
      <c r="J9" s="469">
        <f>I9</f>
        <v>0</v>
      </c>
      <c r="K9" s="514"/>
      <c r="L9" s="787"/>
      <c r="M9" s="787"/>
      <c r="N9" s="514"/>
      <c r="O9" s="514"/>
      <c r="P9" s="514"/>
      <c r="Q9" s="514"/>
      <c r="R9" s="698" t="s">
        <v>2271</v>
      </c>
      <c r="S9" s="703" t="s">
        <v>2272</v>
      </c>
    </row>
    <row r="10" spans="1:19" ht="28" x14ac:dyDescent="0.3">
      <c r="B10" s="1440" t="s">
        <v>151</v>
      </c>
      <c r="C10" s="527">
        <v>6</v>
      </c>
      <c r="D10" s="528" t="s">
        <v>1898</v>
      </c>
      <c r="E10" s="1136">
        <v>0</v>
      </c>
      <c r="F10" s="757"/>
      <c r="G10" s="759"/>
      <c r="H10" s="756"/>
      <c r="I10" s="532">
        <f>E10</f>
        <v>0</v>
      </c>
      <c r="J10" s="469">
        <f>I10</f>
        <v>0</v>
      </c>
      <c r="K10" s="514"/>
      <c r="L10" s="787"/>
      <c r="M10" s="787"/>
      <c r="N10" s="514"/>
      <c r="O10" s="514"/>
      <c r="P10" s="514"/>
      <c r="Q10" s="514"/>
      <c r="R10" s="699" t="s">
        <v>2273</v>
      </c>
      <c r="S10" s="703" t="s">
        <v>2274</v>
      </c>
    </row>
    <row r="11" spans="1:19" ht="42" x14ac:dyDescent="0.3">
      <c r="B11" s="1441"/>
      <c r="C11" s="527">
        <v>7</v>
      </c>
      <c r="D11" s="728" t="s">
        <v>863</v>
      </c>
      <c r="E11" s="1136" t="str">
        <f>IF(E10=0,"",IF(E10&lt;&gt;"","niet van toepassing",""))</f>
        <v/>
      </c>
      <c r="F11" s="757"/>
      <c r="G11" s="759"/>
      <c r="H11" s="756"/>
      <c r="I11" s="532" t="str">
        <f>IF(E11="niet van toepassing",0,E11)</f>
        <v/>
      </c>
      <c r="J11" s="513"/>
      <c r="K11" s="514"/>
      <c r="L11" s="787"/>
      <c r="M11" s="787"/>
      <c r="N11" s="514"/>
      <c r="O11" s="514"/>
      <c r="P11" s="514"/>
      <c r="Q11" s="514"/>
      <c r="R11" s="701" t="s">
        <v>2275</v>
      </c>
      <c r="S11" s="704" t="s">
        <v>2276</v>
      </c>
    </row>
    <row r="12" spans="1:19" ht="28.5" thickBot="1" x14ac:dyDescent="0.35">
      <c r="B12" s="1441"/>
      <c r="C12" s="527">
        <v>8</v>
      </c>
      <c r="D12" s="728" t="s">
        <v>898</v>
      </c>
      <c r="E12" s="1130">
        <v>0</v>
      </c>
      <c r="F12" s="757"/>
      <c r="G12" s="759"/>
      <c r="H12" s="756"/>
      <c r="I12" s="1137">
        <f>E12</f>
        <v>0</v>
      </c>
      <c r="J12" s="869"/>
      <c r="K12" s="514"/>
      <c r="L12" s="926"/>
      <c r="M12" s="787"/>
      <c r="N12" s="514"/>
      <c r="O12" s="514"/>
      <c r="P12" s="514"/>
      <c r="Q12" s="514"/>
      <c r="R12" s="870"/>
      <c r="S12" s="871"/>
    </row>
    <row r="13" spans="1:19" ht="20.5" thickBot="1" x14ac:dyDescent="0.35">
      <c r="B13" s="1441"/>
      <c r="C13" s="527">
        <v>9</v>
      </c>
      <c r="D13" s="533" t="s">
        <v>1455</v>
      </c>
      <c r="E13" s="423" t="s">
        <v>1540</v>
      </c>
      <c r="F13" s="757"/>
      <c r="G13" s="758"/>
      <c r="H13" s="756"/>
      <c r="I13" s="470">
        <f>IF(E13="zacht en vlak",1,IF(E13="zacht en golvend",2,0))</f>
        <v>0</v>
      </c>
      <c r="J13" s="534"/>
      <c r="K13" s="514"/>
      <c r="L13" s="787"/>
      <c r="M13" s="787"/>
      <c r="N13" s="514"/>
      <c r="O13" s="514"/>
      <c r="P13" s="514"/>
      <c r="Q13" s="514"/>
      <c r="R13" s="1460" t="s">
        <v>1845</v>
      </c>
      <c r="S13" s="1461"/>
    </row>
    <row r="14" spans="1:19" ht="20" x14ac:dyDescent="0.3">
      <c r="B14" s="1441"/>
      <c r="C14" s="527">
        <v>10</v>
      </c>
      <c r="D14" s="533" t="s">
        <v>1459</v>
      </c>
      <c r="E14" s="312" t="s">
        <v>1540</v>
      </c>
      <c r="F14" s="757"/>
      <c r="G14" s="758"/>
      <c r="H14" s="756"/>
      <c r="I14" s="307">
        <f>IF(E14="Tijdelijke structuur",1,IF(E14="Oneigenlijk gebruik van structuur",2,0))</f>
        <v>0</v>
      </c>
      <c r="J14" s="534"/>
      <c r="K14" s="514"/>
      <c r="L14" s="550"/>
      <c r="M14" s="786"/>
      <c r="N14" s="514"/>
      <c r="O14" s="514"/>
      <c r="P14" s="514"/>
      <c r="Q14" s="514"/>
    </row>
    <row r="15" spans="1:19" ht="20.5" thickBot="1" x14ac:dyDescent="0.3">
      <c r="B15" s="1441"/>
      <c r="C15" s="527">
        <v>11</v>
      </c>
      <c r="D15" s="533" t="s">
        <v>1463</v>
      </c>
      <c r="E15" s="312" t="s">
        <v>1540</v>
      </c>
      <c r="F15" s="760"/>
      <c r="G15" s="758"/>
      <c r="H15" s="756"/>
      <c r="I15" s="308">
        <f>IF(E15="ja",2,0)</f>
        <v>0</v>
      </c>
      <c r="J15" s="534"/>
      <c r="K15" s="514"/>
      <c r="L15" s="927"/>
      <c r="M15" s="928"/>
      <c r="N15" s="514"/>
      <c r="O15" s="514"/>
      <c r="P15" s="514"/>
      <c r="Q15" s="514"/>
    </row>
    <row r="16" spans="1:19" ht="20.5" thickBot="1" x14ac:dyDescent="0.3">
      <c r="B16" s="1441"/>
      <c r="C16" s="527">
        <v>12</v>
      </c>
      <c r="D16" s="533" t="s">
        <v>1465</v>
      </c>
      <c r="E16" s="312" t="s">
        <v>1540</v>
      </c>
      <c r="F16" s="760"/>
      <c r="G16" s="758"/>
      <c r="H16" s="756"/>
      <c r="I16" s="308">
        <f>IF(E16="ja",2,0)</f>
        <v>0</v>
      </c>
      <c r="J16" s="535" t="s">
        <v>149</v>
      </c>
      <c r="K16" s="514"/>
      <c r="L16" s="1464"/>
      <c r="M16" s="1464"/>
      <c r="N16" s="514"/>
      <c r="O16" s="514"/>
      <c r="P16" s="514"/>
      <c r="Q16" s="514"/>
    </row>
    <row r="17" spans="1:17" ht="20.5" thickBot="1" x14ac:dyDescent="0.3">
      <c r="B17" s="1442"/>
      <c r="C17" s="527">
        <v>13</v>
      </c>
      <c r="D17" s="533" t="s">
        <v>1466</v>
      </c>
      <c r="E17" s="899" t="s">
        <v>1540</v>
      </c>
      <c r="F17" s="760"/>
      <c r="G17" s="758"/>
      <c r="H17" s="756"/>
      <c r="I17" s="308">
        <f>IF(E17="binnen",1,0)</f>
        <v>0</v>
      </c>
      <c r="J17" s="536">
        <f xml:space="preserve"> SUM(I13:I17)</f>
        <v>0</v>
      </c>
      <c r="K17" s="514"/>
      <c r="L17" s="928"/>
      <c r="M17" s="928"/>
      <c r="N17" s="514"/>
      <c r="O17" s="514"/>
      <c r="P17" s="514"/>
      <c r="Q17" s="514"/>
    </row>
    <row r="18" spans="1:17" ht="38" thickBot="1" x14ac:dyDescent="0.3">
      <c r="B18" s="537" t="s">
        <v>1469</v>
      </c>
      <c r="C18" s="538">
        <v>14</v>
      </c>
      <c r="D18" s="539" t="s">
        <v>1470</v>
      </c>
      <c r="E18" s="1130">
        <v>0</v>
      </c>
      <c r="F18" s="1471" t="s">
        <v>1837</v>
      </c>
      <c r="G18" s="1472"/>
      <c r="H18" s="756"/>
      <c r="I18" s="307">
        <f>E18</f>
        <v>0</v>
      </c>
      <c r="J18" s="534"/>
      <c r="K18" s="514"/>
      <c r="L18" s="928"/>
      <c r="M18" s="928"/>
      <c r="N18" s="514"/>
      <c r="O18" s="514"/>
      <c r="P18" s="514"/>
      <c r="Q18" s="514"/>
    </row>
    <row r="19" spans="1:17" ht="28.5" thickTop="1" x14ac:dyDescent="0.25">
      <c r="B19" s="1443" t="s">
        <v>1473</v>
      </c>
      <c r="C19" s="689">
        <v>15</v>
      </c>
      <c r="D19" s="690" t="s">
        <v>1474</v>
      </c>
      <c r="E19" s="900"/>
      <c r="F19" s="1424" t="s">
        <v>1791</v>
      </c>
      <c r="G19" s="1425"/>
      <c r="I19" s="308">
        <f t="shared" ref="I19:I24" si="0">IF(E19="ja",1,0)</f>
        <v>0</v>
      </c>
      <c r="J19" s="534"/>
      <c r="K19" s="514"/>
      <c r="L19" s="862"/>
      <c r="M19" s="550"/>
      <c r="N19" s="514"/>
      <c r="O19" s="514"/>
      <c r="P19" s="514"/>
      <c r="Q19" s="514"/>
    </row>
    <row r="20" spans="1:17" ht="28" x14ac:dyDescent="0.25">
      <c r="B20" s="1444"/>
      <c r="C20" s="540">
        <v>16</v>
      </c>
      <c r="D20" s="541" t="s">
        <v>1475</v>
      </c>
      <c r="E20" s="313" t="str">
        <f>IF($E$19="neen","Niet van toepassing","Maak uw keuze")</f>
        <v>Maak uw keuze</v>
      </c>
      <c r="F20" s="1424"/>
      <c r="G20" s="1425"/>
      <c r="I20" s="308">
        <f t="shared" si="0"/>
        <v>0</v>
      </c>
      <c r="J20" s="534"/>
      <c r="K20" s="514"/>
      <c r="L20" s="514"/>
      <c r="M20" s="514"/>
      <c r="N20" s="514"/>
      <c r="O20" s="514"/>
      <c r="P20" s="514"/>
      <c r="Q20" s="514"/>
    </row>
    <row r="21" spans="1:17" ht="28" x14ac:dyDescent="0.25">
      <c r="B21" s="1444"/>
      <c r="C21" s="540">
        <v>17</v>
      </c>
      <c r="D21" s="541" t="s">
        <v>36</v>
      </c>
      <c r="E21" s="313" t="str">
        <f>IF($E$19="neen","Niet van toepassing","Maak uw keuze")</f>
        <v>Maak uw keuze</v>
      </c>
      <c r="F21" s="1424"/>
      <c r="G21" s="1425"/>
      <c r="I21" s="308">
        <f t="shared" si="0"/>
        <v>0</v>
      </c>
      <c r="J21" s="534"/>
      <c r="K21" s="514"/>
      <c r="L21" s="765"/>
      <c r="M21" s="514"/>
      <c r="N21" s="514"/>
      <c r="O21" s="514"/>
      <c r="P21" s="514"/>
      <c r="Q21" s="514"/>
    </row>
    <row r="22" spans="1:17" ht="28" x14ac:dyDescent="0.25">
      <c r="B22" s="1444"/>
      <c r="C22" s="540">
        <v>18</v>
      </c>
      <c r="D22" s="541" t="s">
        <v>37</v>
      </c>
      <c r="E22" s="313" t="str">
        <f>IF($E$19="neen","Niet van toepassing","Maak uw keuze")</f>
        <v>Maak uw keuze</v>
      </c>
      <c r="F22" s="1424"/>
      <c r="G22" s="1425"/>
      <c r="I22" s="308">
        <f t="shared" si="0"/>
        <v>0</v>
      </c>
      <c r="J22" s="534"/>
      <c r="K22" s="514"/>
      <c r="L22" s="514"/>
      <c r="M22" s="514"/>
      <c r="N22" s="514"/>
      <c r="O22" s="514"/>
      <c r="P22" s="514"/>
      <c r="Q22" s="514"/>
    </row>
    <row r="23" spans="1:17" ht="28.5" thickBot="1" x14ac:dyDescent="0.3">
      <c r="B23" s="1444"/>
      <c r="C23" s="540">
        <v>19</v>
      </c>
      <c r="D23" s="541" t="s">
        <v>38</v>
      </c>
      <c r="E23" s="313" t="str">
        <f>IF($E$19="neen","Niet van toepassing","Maak uw keuze")</f>
        <v>Maak uw keuze</v>
      </c>
      <c r="F23" s="1424"/>
      <c r="G23" s="1425"/>
      <c r="I23" s="308">
        <f t="shared" si="0"/>
        <v>0</v>
      </c>
      <c r="J23" s="534"/>
      <c r="K23" s="514"/>
      <c r="L23" s="514"/>
      <c r="M23" s="514"/>
      <c r="N23" s="514"/>
      <c r="O23" s="514"/>
      <c r="P23" s="514"/>
      <c r="Q23" s="514"/>
    </row>
    <row r="24" spans="1:17" ht="28.5" thickBot="1" x14ac:dyDescent="0.3">
      <c r="B24" s="1444"/>
      <c r="C24" s="542">
        <v>20</v>
      </c>
      <c r="D24" s="543" t="s">
        <v>39</v>
      </c>
      <c r="E24" s="313" t="str">
        <f>IF($E$19="neen","Niet van toepassing","Maak uw keuze")</f>
        <v>Maak uw keuze</v>
      </c>
      <c r="F24" s="1426"/>
      <c r="G24" s="1427"/>
      <c r="I24" s="309">
        <f t="shared" si="0"/>
        <v>0</v>
      </c>
      <c r="J24" s="544" t="s">
        <v>150</v>
      </c>
      <c r="K24" s="514"/>
      <c r="L24" s="514"/>
      <c r="M24" s="514"/>
      <c r="N24" s="514"/>
      <c r="O24" s="514"/>
      <c r="P24" s="514"/>
      <c r="Q24" s="514"/>
    </row>
    <row r="25" spans="1:17" ht="31.5" customHeight="1" thickTop="1" thickBot="1" x14ac:dyDescent="0.3">
      <c r="B25" s="1445"/>
      <c r="C25" s="545">
        <v>21</v>
      </c>
      <c r="D25" s="546" t="s">
        <v>40</v>
      </c>
      <c r="E25" s="471" t="s">
        <v>2330</v>
      </c>
      <c r="F25" s="547"/>
      <c r="G25" s="548"/>
      <c r="I25" s="310">
        <f>IF(E25="&gt; dan 1 gemeente",1,0)</f>
        <v>0</v>
      </c>
      <c r="J25" s="549">
        <f>SUM(I19:I25)</f>
        <v>0</v>
      </c>
      <c r="K25" s="514"/>
      <c r="L25" s="514"/>
      <c r="M25" s="514"/>
      <c r="N25" s="514"/>
      <c r="O25" s="514"/>
      <c r="P25" s="514"/>
      <c r="Q25" s="514"/>
    </row>
    <row r="26" spans="1:17" ht="13" thickBot="1" x14ac:dyDescent="0.3">
      <c r="B26" s="514"/>
      <c r="C26" s="514"/>
      <c r="D26" s="514"/>
      <c r="E26" s="514"/>
      <c r="F26" s="514"/>
      <c r="G26" s="514"/>
      <c r="I26" s="550"/>
      <c r="J26" s="517"/>
      <c r="K26" s="514"/>
      <c r="L26" s="514"/>
      <c r="M26" s="514"/>
      <c r="N26" s="514"/>
      <c r="O26" s="514"/>
      <c r="P26" s="514"/>
      <c r="Q26" s="514"/>
    </row>
    <row r="27" spans="1:17" ht="14.5" thickBot="1" x14ac:dyDescent="0.3">
      <c r="A27" s="1428" t="s">
        <v>56</v>
      </c>
      <c r="B27" s="1429"/>
      <c r="C27" s="1429"/>
      <c r="D27" s="1429"/>
      <c r="E27" s="1429"/>
      <c r="F27" s="1429"/>
      <c r="G27" s="1429"/>
      <c r="H27" s="772"/>
      <c r="I27" s="1438" t="s">
        <v>2127</v>
      </c>
      <c r="J27" s="1439"/>
      <c r="K27" s="514"/>
      <c r="L27" s="514"/>
      <c r="M27" s="514"/>
      <c r="N27" s="514"/>
      <c r="O27" s="514"/>
      <c r="P27" s="514"/>
      <c r="Q27" s="514"/>
    </row>
    <row r="28" spans="1:17" ht="13" thickBot="1" x14ac:dyDescent="0.3">
      <c r="B28" s="514"/>
      <c r="C28" s="514"/>
      <c r="D28" s="514"/>
      <c r="E28" s="514"/>
      <c r="F28" s="514"/>
      <c r="G28" s="514"/>
      <c r="I28" s="550"/>
      <c r="J28" s="517"/>
      <c r="K28" s="514"/>
      <c r="L28" s="514"/>
      <c r="M28" s="514"/>
      <c r="N28" s="514"/>
      <c r="O28" s="514"/>
      <c r="P28" s="514"/>
      <c r="Q28" s="514"/>
    </row>
    <row r="29" spans="1:17" ht="26.5" thickBot="1" x14ac:dyDescent="0.3">
      <c r="B29" s="551" t="s">
        <v>1511</v>
      </c>
      <c r="C29" s="552" t="s">
        <v>1512</v>
      </c>
      <c r="D29" s="1435" t="s">
        <v>42</v>
      </c>
      <c r="E29" s="1435"/>
      <c r="F29" s="552" t="s">
        <v>43</v>
      </c>
      <c r="G29" s="553" t="s">
        <v>46</v>
      </c>
      <c r="I29" s="554" t="s">
        <v>1772</v>
      </c>
      <c r="J29" s="555"/>
      <c r="K29" s="514"/>
      <c r="L29" s="550"/>
      <c r="M29" s="550"/>
      <c r="N29" s="550"/>
      <c r="O29" s="550"/>
      <c r="P29" s="550"/>
      <c r="Q29" s="514"/>
    </row>
    <row r="30" spans="1:17" ht="12.75" customHeight="1" x14ac:dyDescent="0.25">
      <c r="B30" s="1430" t="s">
        <v>47</v>
      </c>
      <c r="C30" s="556">
        <v>22</v>
      </c>
      <c r="D30" s="557" t="s">
        <v>767</v>
      </c>
      <c r="E30" s="557" t="s">
        <v>48</v>
      </c>
      <c r="F30" s="558">
        <f>'LUIK 1 - AANVRAAG'!I14</f>
        <v>0</v>
      </c>
      <c r="G30" s="559"/>
      <c r="I30" s="560"/>
      <c r="J30" s="534"/>
      <c r="K30" s="514"/>
      <c r="L30" s="550"/>
      <c r="M30" s="550"/>
      <c r="N30" s="550"/>
      <c r="O30" s="550"/>
      <c r="P30" s="550"/>
      <c r="Q30" s="514"/>
    </row>
    <row r="31" spans="1:17" x14ac:dyDescent="0.25">
      <c r="B31" s="1431"/>
      <c r="C31" s="561"/>
      <c r="D31" s="562" t="s">
        <v>2217</v>
      </c>
      <c r="E31" s="562" t="s">
        <v>49</v>
      </c>
      <c r="F31" s="563">
        <f>'LUIK 1 - AANVRAAG'!I15</f>
        <v>0</v>
      </c>
      <c r="G31" s="564"/>
      <c r="I31" s="560"/>
      <c r="J31" s="534"/>
      <c r="K31" s="514"/>
      <c r="L31" s="550"/>
      <c r="M31" s="550"/>
      <c r="N31" s="550"/>
      <c r="O31" s="550"/>
      <c r="P31" s="550"/>
      <c r="Q31" s="514"/>
    </row>
    <row r="32" spans="1:17" ht="13" x14ac:dyDescent="0.25">
      <c r="B32" s="1431"/>
      <c r="C32" s="561"/>
      <c r="D32" s="562" t="s">
        <v>2219</v>
      </c>
      <c r="E32" s="562" t="s">
        <v>50</v>
      </c>
      <c r="F32" s="1124">
        <f>'LUIK 1 - AANVRAAG'!I16</f>
        <v>100</v>
      </c>
      <c r="G32" s="564"/>
      <c r="I32" s="560"/>
      <c r="J32" s="534"/>
      <c r="K32" s="514"/>
      <c r="L32" s="550"/>
      <c r="M32" s="604"/>
      <c r="N32" s="550"/>
      <c r="O32" s="550"/>
      <c r="P32" s="550"/>
      <c r="Q32" s="514"/>
    </row>
    <row r="33" spans="1:17" x14ac:dyDescent="0.25">
      <c r="B33" s="1431"/>
      <c r="C33" s="550"/>
      <c r="D33" s="550"/>
      <c r="E33" s="550"/>
      <c r="F33" s="1028"/>
      <c r="G33" s="596"/>
      <c r="I33" s="560"/>
      <c r="J33" s="534"/>
      <c r="K33" s="514"/>
      <c r="L33" s="550"/>
      <c r="M33" s="550"/>
      <c r="N33" s="550"/>
      <c r="O33" s="550"/>
      <c r="P33" s="550"/>
      <c r="Q33" s="514"/>
    </row>
    <row r="34" spans="1:17" ht="13" thickBot="1" x14ac:dyDescent="0.3">
      <c r="B34" s="1431"/>
      <c r="C34" s="561"/>
      <c r="D34" s="562" t="s">
        <v>2221</v>
      </c>
      <c r="E34" s="562" t="s">
        <v>52</v>
      </c>
      <c r="F34" s="1124">
        <f>'LUIK 1 - AANVRAAG'!I17</f>
        <v>0</v>
      </c>
      <c r="G34" s="564"/>
      <c r="I34" s="560"/>
      <c r="J34" s="534"/>
      <c r="K34" s="514"/>
      <c r="L34" s="550"/>
      <c r="M34" s="550"/>
      <c r="N34" s="550"/>
      <c r="O34" s="550"/>
      <c r="P34" s="550"/>
      <c r="Q34" s="514"/>
    </row>
    <row r="35" spans="1:17" x14ac:dyDescent="0.25">
      <c r="B35" s="1431"/>
      <c r="C35" s="561"/>
      <c r="D35" s="562" t="s">
        <v>2222</v>
      </c>
      <c r="E35" s="562" t="s">
        <v>53</v>
      </c>
      <c r="F35" s="1124">
        <f>'LUIK 1 - AANVRAAG'!I18</f>
        <v>0</v>
      </c>
      <c r="G35" s="564"/>
      <c r="I35" s="560"/>
      <c r="J35" s="566" t="s">
        <v>2123</v>
      </c>
      <c r="K35" s="514"/>
      <c r="L35" s="550"/>
      <c r="M35" s="550"/>
      <c r="N35" s="550"/>
      <c r="O35" s="550"/>
      <c r="P35" s="550"/>
      <c r="Q35" s="514"/>
    </row>
    <row r="36" spans="1:17" x14ac:dyDescent="0.25">
      <c r="B36" s="1432"/>
      <c r="C36" s="561"/>
      <c r="D36" s="562" t="s">
        <v>2223</v>
      </c>
      <c r="E36" s="562" t="s">
        <v>1844</v>
      </c>
      <c r="F36" s="1124">
        <f>'LUIK 1 - AANVRAAG'!I20</f>
        <v>0</v>
      </c>
      <c r="G36" s="564"/>
      <c r="I36" s="567"/>
      <c r="J36" s="568"/>
      <c r="K36" s="514"/>
      <c r="L36" s="862"/>
      <c r="M36" s="862"/>
      <c r="N36" s="862"/>
      <c r="O36" s="550"/>
      <c r="P36" s="550"/>
      <c r="Q36" s="514"/>
    </row>
    <row r="37" spans="1:17" ht="13.5" thickBot="1" x14ac:dyDescent="0.3">
      <c r="B37" s="1468" t="s">
        <v>54</v>
      </c>
      <c r="C37" s="1469"/>
      <c r="D37" s="1470"/>
      <c r="E37" s="569"/>
      <c r="F37" s="569"/>
      <c r="G37" s="836">
        <f>'LUIK 1 - AANVRAAG'!K21</f>
        <v>0</v>
      </c>
      <c r="I37" s="570"/>
      <c r="J37" s="571">
        <f>G37</f>
        <v>0</v>
      </c>
      <c r="K37" s="514"/>
      <c r="L37" s="862"/>
      <c r="M37" s="862"/>
      <c r="N37" s="862"/>
      <c r="O37" s="550"/>
      <c r="P37" s="550"/>
      <c r="Q37" s="514"/>
    </row>
    <row r="38" spans="1:17" ht="13" thickBot="1" x14ac:dyDescent="0.3">
      <c r="B38" s="514"/>
      <c r="C38" s="514"/>
      <c r="D38" s="514"/>
      <c r="E38" s="514"/>
      <c r="F38" s="514"/>
      <c r="G38" s="514"/>
      <c r="I38" s="514"/>
      <c r="J38" s="517"/>
      <c r="K38" s="514"/>
      <c r="L38" s="862"/>
      <c r="M38" s="863"/>
      <c r="N38" s="862"/>
      <c r="O38" s="550"/>
      <c r="P38" s="550"/>
      <c r="Q38" s="514"/>
    </row>
    <row r="39" spans="1:17" ht="14.5" thickBot="1" x14ac:dyDescent="0.3">
      <c r="A39" s="1428" t="s">
        <v>57</v>
      </c>
      <c r="B39" s="1429"/>
      <c r="C39" s="1429"/>
      <c r="D39" s="1429"/>
      <c r="E39" s="1429"/>
      <c r="F39" s="1429"/>
      <c r="G39" s="1429"/>
      <c r="H39" s="772"/>
      <c r="I39" s="1438" t="s">
        <v>1915</v>
      </c>
      <c r="J39" s="1439"/>
      <c r="K39" s="514"/>
      <c r="L39" s="862"/>
      <c r="M39" s="862"/>
      <c r="N39" s="862"/>
      <c r="O39" s="550"/>
      <c r="P39" s="550"/>
      <c r="Q39" s="514"/>
    </row>
    <row r="40" spans="1:17" ht="13" thickBot="1" x14ac:dyDescent="0.3">
      <c r="B40" s="514"/>
      <c r="C40" s="514"/>
      <c r="D40" s="514"/>
      <c r="E40" s="514"/>
      <c r="F40" s="514"/>
      <c r="G40" s="514"/>
      <c r="I40" s="514"/>
      <c r="J40" s="517"/>
      <c r="K40" s="514"/>
      <c r="L40" s="862"/>
      <c r="M40" s="862"/>
      <c r="N40" s="862"/>
      <c r="O40" s="550"/>
      <c r="P40" s="550"/>
      <c r="Q40" s="514"/>
    </row>
    <row r="41" spans="1:17" ht="13.5" thickBot="1" x14ac:dyDescent="0.3">
      <c r="B41" s="572" t="s">
        <v>1511</v>
      </c>
      <c r="C41" s="573" t="s">
        <v>1512</v>
      </c>
      <c r="D41" s="573" t="s">
        <v>1692</v>
      </c>
      <c r="E41" s="1467" t="s">
        <v>1771</v>
      </c>
      <c r="F41" s="1455"/>
      <c r="G41" s="1456"/>
      <c r="I41" s="574" t="s">
        <v>1772</v>
      </c>
      <c r="J41" s="517"/>
      <c r="K41" s="514"/>
      <c r="L41" s="862"/>
      <c r="M41" s="862"/>
      <c r="N41" s="862"/>
      <c r="O41" s="550"/>
      <c r="P41" s="550"/>
      <c r="Q41" s="514"/>
    </row>
    <row r="42" spans="1:17" ht="15.5" x14ac:dyDescent="0.25">
      <c r="B42" s="575" t="s">
        <v>58</v>
      </c>
      <c r="C42" s="557">
        <v>23</v>
      </c>
      <c r="D42" s="628" t="s">
        <v>59</v>
      </c>
      <c r="E42" s="618" t="s">
        <v>1540</v>
      </c>
      <c r="F42" s="1447"/>
      <c r="G42" s="1448"/>
      <c r="I42" s="577">
        <f>IF(E42="tss 10-20 jaar en/of tss 35-65 jaar",1,IF(E42="tss 20-35 jaar",2,IF(E42="&gt; 65 jaar",4,IF(E42="&lt; 10 jaar met begeleiding van de ouders",4,IF(E42="&lt; 10 jaar zonder begeleiding van de ouders",10,0)))))</f>
        <v>0</v>
      </c>
      <c r="J42" s="517"/>
      <c r="K42" s="514"/>
      <c r="L42" s="550"/>
      <c r="M42" s="550"/>
      <c r="N42" s="550"/>
      <c r="O42" s="550"/>
      <c r="P42" s="550"/>
      <c r="Q42" s="514"/>
    </row>
    <row r="43" spans="1:17" ht="15.5" x14ac:dyDescent="0.25">
      <c r="B43" s="578" t="s">
        <v>1827</v>
      </c>
      <c r="C43" s="562">
        <v>24</v>
      </c>
      <c r="D43" s="629" t="s">
        <v>1828</v>
      </c>
      <c r="E43" s="679" t="s">
        <v>1540</v>
      </c>
      <c r="F43" s="1449"/>
      <c r="G43" s="1450"/>
      <c r="I43" s="307">
        <f>IF(E43="Aanwezig met risicoverwachting",3,IF(E43="Overvloedig gebruik",6,0))</f>
        <v>0</v>
      </c>
      <c r="J43" s="517"/>
      <c r="K43" s="514"/>
      <c r="L43" s="862"/>
      <c r="M43" s="862"/>
      <c r="N43" s="550"/>
      <c r="O43" s="550"/>
      <c r="P43" s="550"/>
      <c r="Q43" s="514"/>
    </row>
    <row r="44" spans="1:17" ht="15.5" x14ac:dyDescent="0.25">
      <c r="B44" s="578" t="s">
        <v>1912</v>
      </c>
      <c r="C44" s="562">
        <v>25</v>
      </c>
      <c r="D44" s="629" t="s">
        <v>1913</v>
      </c>
      <c r="E44" s="679" t="s">
        <v>1540</v>
      </c>
      <c r="F44" s="1449"/>
      <c r="G44" s="1450"/>
      <c r="I44" s="307">
        <f>IF(E44="Aanwezig met risicoverwachting",10,IF(E44="Overvloedig gebruik",17,0))</f>
        <v>0</v>
      </c>
      <c r="J44" s="517"/>
      <c r="K44" s="514"/>
      <c r="L44" s="862"/>
      <c r="M44" s="862"/>
      <c r="N44" s="550"/>
      <c r="O44" s="550"/>
      <c r="P44" s="550"/>
      <c r="Q44" s="514"/>
    </row>
    <row r="45" spans="1:17" ht="16" thickBot="1" x14ac:dyDescent="0.3">
      <c r="B45" s="1451" t="s">
        <v>1915</v>
      </c>
      <c r="C45" s="562">
        <v>26</v>
      </c>
      <c r="D45" s="629" t="s">
        <v>1916</v>
      </c>
      <c r="E45" s="679" t="s">
        <v>1540</v>
      </c>
      <c r="F45" s="1449"/>
      <c r="G45" s="1450"/>
      <c r="I45" s="307">
        <f>IF(E45="Eén type van publiek",2,0)</f>
        <v>0</v>
      </c>
      <c r="J45" s="517"/>
      <c r="K45" s="514"/>
      <c r="L45" s="550"/>
      <c r="M45" s="550"/>
      <c r="N45" s="550"/>
      <c r="O45" s="550"/>
      <c r="P45" s="550"/>
      <c r="Q45" s="514"/>
    </row>
    <row r="46" spans="1:17" ht="28.5" thickBot="1" x14ac:dyDescent="0.3">
      <c r="B46" s="1452"/>
      <c r="C46" s="562">
        <v>27</v>
      </c>
      <c r="D46" s="629" t="s">
        <v>227</v>
      </c>
      <c r="E46" s="679" t="s">
        <v>1540</v>
      </c>
      <c r="F46" s="1449"/>
      <c r="G46" s="1450"/>
      <c r="I46" s="307">
        <f>IF(E46="Gehandicapten of milde pathologie met chronische behandeling",1,IF(E46="Ernstige pathologie met chronische behandeling",2,0))</f>
        <v>0</v>
      </c>
      <c r="J46" s="566" t="s">
        <v>2118</v>
      </c>
      <c r="K46" s="514"/>
      <c r="L46" s="514"/>
      <c r="M46" s="514"/>
      <c r="N46" s="514"/>
      <c r="O46" s="514"/>
      <c r="P46" s="514"/>
      <c r="Q46" s="514"/>
    </row>
    <row r="47" spans="1:17" ht="16" thickBot="1" x14ac:dyDescent="0.3">
      <c r="B47" s="578"/>
      <c r="C47" s="562">
        <v>28</v>
      </c>
      <c r="D47" s="629" t="s">
        <v>230</v>
      </c>
      <c r="E47" s="679" t="s">
        <v>1540</v>
      </c>
      <c r="F47" s="1449"/>
      <c r="G47" s="1450"/>
      <c r="I47" s="307">
        <f>IF(E47="Koude voeding",1,IF(E47="Warme voeding",2,0))</f>
        <v>0</v>
      </c>
      <c r="J47" s="536">
        <f>E52*I53/100</f>
        <v>0</v>
      </c>
      <c r="K47" s="514"/>
      <c r="L47" s="514"/>
      <c r="M47" s="514"/>
      <c r="N47" s="514"/>
      <c r="O47" s="514"/>
      <c r="P47" s="514"/>
      <c r="Q47" s="514"/>
    </row>
    <row r="48" spans="1:17" ht="15.5" x14ac:dyDescent="0.25">
      <c r="B48" s="1451" t="s">
        <v>1850</v>
      </c>
      <c r="C48" s="565">
        <v>29</v>
      </c>
      <c r="D48" s="630" t="s">
        <v>1851</v>
      </c>
      <c r="E48" s="680" t="s">
        <v>1540</v>
      </c>
      <c r="F48" s="1449"/>
      <c r="G48" s="1450"/>
      <c r="I48" s="308">
        <f>IF(E48="ja",1,0)</f>
        <v>0</v>
      </c>
      <c r="J48" s="517"/>
      <c r="K48" s="514"/>
      <c r="L48" s="514"/>
      <c r="M48" s="514"/>
      <c r="N48" s="514"/>
      <c r="O48" s="514"/>
      <c r="P48" s="514"/>
      <c r="Q48" s="514"/>
    </row>
    <row r="49" spans="1:26" ht="16" thickBot="1" x14ac:dyDescent="0.3">
      <c r="B49" s="1453"/>
      <c r="C49" s="594">
        <v>30</v>
      </c>
      <c r="D49" s="631" t="s">
        <v>324</v>
      </c>
      <c r="E49" s="681" t="s">
        <v>1540</v>
      </c>
      <c r="F49" s="1449"/>
      <c r="G49" s="1450"/>
      <c r="I49" s="308">
        <f>IF(E49="ja",1,0)</f>
        <v>0</v>
      </c>
      <c r="J49" s="517"/>
      <c r="K49" s="514"/>
      <c r="L49" s="514"/>
      <c r="M49" s="514"/>
      <c r="N49" s="514"/>
      <c r="O49" s="514"/>
      <c r="P49" s="514"/>
      <c r="Q49" s="514"/>
    </row>
    <row r="50" spans="1:26" s="583" customFormat="1" ht="16" thickBot="1" x14ac:dyDescent="0.3">
      <c r="A50" s="514"/>
      <c r="B50" s="1479" t="s">
        <v>234</v>
      </c>
      <c r="C50" s="793">
        <v>31</v>
      </c>
      <c r="D50" s="794" t="s">
        <v>235</v>
      </c>
      <c r="E50" s="795" t="str">
        <f>'LUIK 1 - AANVRAAG'!$G$6</f>
        <v>Maak uw keuze</v>
      </c>
      <c r="F50" s="1449"/>
      <c r="G50" s="1450"/>
      <c r="H50" s="514"/>
      <c r="I50" s="307">
        <f>IF(E50="alle andere betogingen",24,IF(E50="ALLE ANDERE EVENEMENTEN",10,IF(E50="Autosport",24,IF(E50="Bazar",5,IF(E50="Beurs",5,IF(E50="braderie",5,IF(E50="Competitiesport",17,IF(E50="Concert van klassieke muziek",5,J50))))))))</f>
        <v>0</v>
      </c>
      <c r="J50" s="580">
        <f>IF(E50="Danssportevenement",10,IF(E50="Evenement met techno/house en/of aanverwante muziekvorm",32,IF(E50="Folkloristisch feest",10,IF(E50="Karnaval",17,IF(E50="Kerstmarkt",10,IF(E50="Kleine (aangekondigde) betoging",17,K50))))))</f>
        <v>0</v>
      </c>
      <c r="K50" s="581">
        <f>IF(E50="Marathon",17,IF(E50="Markt",5,IF(E50="Meerdaagse wandelmarsen",17,IF(E50="Motorsport",24,IF(E50="Muziekevenement (andere dan klassieke muziek of rock/house/techno)",17,IF(E50="Optochten",10,IF(E50="Pensenkermis",5,L50)))))))</f>
        <v>0</v>
      </c>
      <c r="L50" s="581">
        <f>IF(E50="Rockconcert",32,IF(E50="Show",5,IF(E50="Sportevenement (behalve marathon, wielrennen, meerdaagse wandelmarsen of competitie)",10,IF(E50="Straatfestival (behalve karnaval)",10,IF(E50="Tentoonstelling",5,IF(E50="Theater",5,IF(E50="Vliegshow",24,M50)))))))</f>
        <v>0</v>
      </c>
      <c r="M50" s="581">
        <f>IF(E50="Vliegshow static ",5,IF(E50="Huwelijk BV",10,IF(E50="Wielrennen achter derny",17,IF(E50="Eroticabeurs",5,IF(E50="Vlooienmarkt",5,IF(E50="Volksbal",5,IF(E50="Vuurwerk",17,N50)))))))</f>
        <v>0</v>
      </c>
      <c r="N50" s="582">
        <f>IF(E50="Wielrennen",17,IF(E50="Fuif",17,IF(E50="Ballonvaart",17,IF(E50="Politieke manifestatie",32,0))))</f>
        <v>0</v>
      </c>
      <c r="O50" s="514"/>
      <c r="P50" s="550"/>
      <c r="Q50" s="550"/>
      <c r="R50" s="514"/>
      <c r="S50" s="514"/>
      <c r="T50" s="514"/>
      <c r="U50" s="514"/>
      <c r="V50" s="514"/>
      <c r="W50" s="514"/>
      <c r="X50" s="514"/>
      <c r="Y50" s="514"/>
      <c r="Z50" s="514"/>
    </row>
    <row r="51" spans="1:26" ht="16" thickBot="1" x14ac:dyDescent="0.3">
      <c r="B51" s="1480"/>
      <c r="C51" s="562">
        <v>32</v>
      </c>
      <c r="D51" s="629" t="s">
        <v>765</v>
      </c>
      <c r="E51" s="584">
        <f>'LUIK 1 - AANVRAAG'!$K$8</f>
        <v>0</v>
      </c>
      <c r="F51" s="1449"/>
      <c r="G51" s="1450"/>
      <c r="I51" s="585">
        <f>IF(E51&lt;5,0,IF(AND(E51&gt;5,E51&lt;13),2,IF(AND(E51&gt;12,E51&lt;25),4,IF(E51&gt;24,6,0))))</f>
        <v>0</v>
      </c>
      <c r="J51" s="586"/>
      <c r="K51" s="514"/>
      <c r="L51" s="514"/>
      <c r="M51" s="514"/>
      <c r="N51" s="514"/>
      <c r="O51" s="514"/>
      <c r="P51" s="514"/>
      <c r="Q51" s="514"/>
    </row>
    <row r="52" spans="1:26" ht="28.5" thickBot="1" x14ac:dyDescent="0.3">
      <c r="B52" s="1480"/>
      <c r="C52" s="562">
        <v>33</v>
      </c>
      <c r="D52" s="629" t="s">
        <v>240</v>
      </c>
      <c r="E52" s="587">
        <f>'LUIK 1 - AANVRAAG'!$K$8</f>
        <v>0</v>
      </c>
      <c r="F52" s="588" t="s">
        <v>1308</v>
      </c>
      <c r="G52" s="589"/>
      <c r="I52" s="560"/>
      <c r="J52" s="517"/>
      <c r="K52" s="514"/>
      <c r="L52" s="514"/>
      <c r="M52" s="514"/>
      <c r="N52" s="514"/>
      <c r="O52" s="514"/>
      <c r="P52" s="514"/>
      <c r="Q52" s="514"/>
    </row>
    <row r="53" spans="1:26" ht="42.5" thickBot="1" x14ac:dyDescent="0.3">
      <c r="B53" s="1480"/>
      <c r="C53" s="562">
        <v>34</v>
      </c>
      <c r="D53" s="629" t="s">
        <v>2292</v>
      </c>
      <c r="E53" s="679">
        <v>0</v>
      </c>
      <c r="F53" s="590" t="s">
        <v>2293</v>
      </c>
      <c r="G53" s="591"/>
      <c r="I53" s="592">
        <f>E53</f>
        <v>0</v>
      </c>
      <c r="J53" s="593" t="s">
        <v>2108</v>
      </c>
      <c r="K53" s="514"/>
      <c r="L53" s="1133"/>
      <c r="M53" s="514"/>
      <c r="N53" s="514"/>
      <c r="O53" s="514"/>
      <c r="P53" s="514"/>
      <c r="Q53" s="514"/>
    </row>
    <row r="54" spans="1:26" ht="16" thickBot="1" x14ac:dyDescent="0.3">
      <c r="B54" s="1481"/>
      <c r="C54" s="594">
        <v>35</v>
      </c>
      <c r="D54" s="631" t="s">
        <v>241</v>
      </c>
      <c r="E54" s="681" t="s">
        <v>1540</v>
      </c>
      <c r="F54" s="550"/>
      <c r="G54" s="596"/>
      <c r="I54" s="307">
        <f>IF(E54="(Ook) buiten de werkuren",4,0)</f>
        <v>0</v>
      </c>
      <c r="J54" s="597" t="s">
        <v>2109</v>
      </c>
      <c r="K54" s="514"/>
      <c r="L54" s="514"/>
      <c r="M54" s="514"/>
      <c r="N54" s="514"/>
      <c r="O54" s="514"/>
      <c r="P54" s="514"/>
      <c r="Q54" s="514"/>
    </row>
    <row r="55" spans="1:26" ht="25.5" thickBot="1" x14ac:dyDescent="0.3">
      <c r="B55" s="598" t="s">
        <v>244</v>
      </c>
      <c r="C55" s="599">
        <v>36</v>
      </c>
      <c r="D55" s="632" t="s">
        <v>1303</v>
      </c>
      <c r="E55" s="682" t="s">
        <v>1540</v>
      </c>
      <c r="F55" s="600"/>
      <c r="G55" s="601"/>
      <c r="I55" s="602">
        <f>IF(E55="Aanwezigheid van airco",7,IF(E55="0°C-3°C",15,IF(E55="&lt; 0°C",33,IF(E55="4°C-7°C",7,IF(E55="17°C-22°C",7,IF(E55="22°C-27°C",15,IF(E55="&gt; 27°C",33,0)))))))</f>
        <v>0</v>
      </c>
      <c r="J55" s="549">
        <f>SUM(I42:I51)+SUM(I54:I55)</f>
        <v>0</v>
      </c>
      <c r="K55" s="514"/>
      <c r="L55" s="1124">
        <f>IF(E55="&lt; 0°C",1,0)</f>
        <v>0</v>
      </c>
      <c r="M55" s="1124">
        <f>IF(E55="0°C-3°C",1,0)</f>
        <v>0</v>
      </c>
      <c r="N55" s="1124">
        <f>IF(E55="4°C-7°C",1,0)</f>
        <v>0</v>
      </c>
      <c r="O55" s="1124">
        <f>IF(E55="22°C-27°C",1,0)</f>
        <v>0</v>
      </c>
      <c r="P55" s="1124">
        <f>IF(E55="&gt; 27°C",1,0)</f>
        <v>0</v>
      </c>
      <c r="Q55" s="1124"/>
    </row>
    <row r="56" spans="1:26" ht="13" thickBot="1" x14ac:dyDescent="0.3">
      <c r="B56" s="514"/>
      <c r="C56" s="514"/>
      <c r="D56" s="514"/>
      <c r="E56" s="514"/>
      <c r="F56" s="514"/>
      <c r="G56" s="514"/>
      <c r="I56" s="514"/>
      <c r="J56" s="517"/>
      <c r="K56" s="514"/>
      <c r="L56" s="514"/>
      <c r="M56" s="514"/>
      <c r="N56" s="514"/>
      <c r="O56" s="514"/>
      <c r="P56" s="514"/>
      <c r="Q56" s="514"/>
    </row>
    <row r="57" spans="1:26" ht="14.5" thickBot="1" x14ac:dyDescent="0.3">
      <c r="A57" s="1428" t="s">
        <v>496</v>
      </c>
      <c r="B57" s="1429"/>
      <c r="C57" s="1429"/>
      <c r="D57" s="1429"/>
      <c r="E57" s="1429"/>
      <c r="F57" s="1429"/>
      <c r="G57" s="1429"/>
      <c r="H57" s="772"/>
      <c r="I57" s="1438" t="s">
        <v>2128</v>
      </c>
      <c r="J57" s="1439"/>
      <c r="K57" s="514"/>
      <c r="L57" s="514"/>
      <c r="M57" s="514"/>
      <c r="N57" s="514"/>
      <c r="O57" s="514"/>
      <c r="P57" s="514"/>
      <c r="Q57" s="514"/>
    </row>
    <row r="58" spans="1:26" ht="13" thickBot="1" x14ac:dyDescent="0.3">
      <c r="B58" s="514"/>
      <c r="C58" s="514"/>
      <c r="D58" s="514"/>
      <c r="E58" s="514"/>
      <c r="F58" s="514"/>
      <c r="G58" s="514"/>
      <c r="I58" s="514"/>
      <c r="J58" s="517"/>
      <c r="K58" s="514"/>
      <c r="L58" s="550"/>
      <c r="M58" s="550"/>
      <c r="N58" s="514"/>
      <c r="O58" s="514"/>
      <c r="P58" s="514"/>
      <c r="Q58" s="514"/>
    </row>
    <row r="59" spans="1:26" ht="13.5" thickBot="1" x14ac:dyDescent="0.3">
      <c r="B59" s="572" t="s">
        <v>1511</v>
      </c>
      <c r="C59" s="573" t="s">
        <v>1512</v>
      </c>
      <c r="D59" s="573" t="s">
        <v>1692</v>
      </c>
      <c r="E59" s="1454" t="s">
        <v>1771</v>
      </c>
      <c r="F59" s="1455"/>
      <c r="G59" s="1456"/>
      <c r="I59" s="603" t="s">
        <v>1772</v>
      </c>
      <c r="J59" s="522" t="s">
        <v>2119</v>
      </c>
      <c r="K59" s="514"/>
      <c r="L59" s="550"/>
      <c r="M59" s="550"/>
      <c r="N59" s="514"/>
      <c r="O59" s="514"/>
      <c r="P59" s="514"/>
      <c r="Q59" s="514"/>
    </row>
    <row r="60" spans="1:26" ht="28.5" thickBot="1" x14ac:dyDescent="0.3">
      <c r="B60" s="1477" t="s">
        <v>1268</v>
      </c>
      <c r="C60" s="799">
        <v>37</v>
      </c>
      <c r="D60" s="837" t="s">
        <v>327</v>
      </c>
      <c r="E60" s="1170" t="str">
        <f>'LUIK Organisator'!E17</f>
        <v>In te vullen door de rampenambtenaar</v>
      </c>
      <c r="F60" s="796"/>
      <c r="G60" s="797"/>
      <c r="I60" s="617">
        <f>IF(E60="niet OK en/of onbekend",1,0)</f>
        <v>0</v>
      </c>
      <c r="J60" s="555"/>
      <c r="K60" s="514"/>
      <c r="L60" s="550"/>
      <c r="M60" s="550"/>
      <c r="N60" s="514"/>
      <c r="O60" s="514"/>
      <c r="P60" s="514"/>
      <c r="Q60" s="514"/>
    </row>
    <row r="61" spans="1:26" ht="18" thickBot="1" x14ac:dyDescent="0.3">
      <c r="B61" s="1478"/>
      <c r="C61" s="562">
        <v>38</v>
      </c>
      <c r="D61" s="629" t="s">
        <v>1269</v>
      </c>
      <c r="E61" s="1157" t="str">
        <f>'LUIK Organisator'!E18</f>
        <v>In te vullen door de rampenambtenaar</v>
      </c>
      <c r="F61" s="604"/>
      <c r="G61" s="596"/>
      <c r="I61" s="307">
        <f>IF(E61="4 tot 9 maal",1,IF(E61="3 maal of minder",2,IF(E61="onbekend",2,0)))</f>
        <v>0</v>
      </c>
      <c r="J61" s="536">
        <f>SUM(I60:I62)</f>
        <v>0</v>
      </c>
      <c r="K61" s="514"/>
      <c r="L61" s="550"/>
      <c r="M61" s="550"/>
      <c r="N61" s="514"/>
      <c r="O61" s="514"/>
      <c r="P61" s="514"/>
      <c r="Q61" s="514"/>
    </row>
    <row r="62" spans="1:26" ht="18" thickBot="1" x14ac:dyDescent="0.3">
      <c r="B62" s="1453"/>
      <c r="C62" s="594">
        <v>39</v>
      </c>
      <c r="D62" s="631" t="s">
        <v>1273</v>
      </c>
      <c r="E62" s="595" t="s">
        <v>1540</v>
      </c>
      <c r="F62" s="550"/>
      <c r="G62" s="596"/>
      <c r="I62" s="610">
        <f>IF(E62="neen",1,IF(E62="onbekend",1,0))</f>
        <v>0</v>
      </c>
      <c r="J62" s="517"/>
      <c r="K62" s="514"/>
      <c r="L62" s="550"/>
      <c r="M62" s="550"/>
      <c r="N62" s="514"/>
      <c r="O62" s="514"/>
      <c r="P62" s="514"/>
      <c r="Q62" s="514"/>
    </row>
    <row r="63" spans="1:26" ht="18" thickBot="1" x14ac:dyDescent="0.3">
      <c r="B63" s="531"/>
      <c r="C63" s="550"/>
      <c r="D63" s="550"/>
      <c r="E63" s="605"/>
      <c r="F63" s="550"/>
      <c r="G63" s="596"/>
      <c r="I63" s="514"/>
      <c r="J63" s="517"/>
      <c r="K63" s="514"/>
      <c r="L63" s="550"/>
      <c r="M63" s="550"/>
      <c r="N63" s="514"/>
      <c r="O63" s="514"/>
      <c r="P63" s="514"/>
      <c r="Q63" s="514"/>
    </row>
    <row r="64" spans="1:26" ht="42.5" thickBot="1" x14ac:dyDescent="0.3">
      <c r="B64" s="606" t="s">
        <v>1274</v>
      </c>
      <c r="C64" s="607">
        <v>40</v>
      </c>
      <c r="D64" s="633" t="s">
        <v>1275</v>
      </c>
      <c r="E64" s="1171" t="str">
        <f>'LUIK Organisator'!E19</f>
        <v>In te vullen door de rampenambtenaar</v>
      </c>
      <c r="F64" s="550"/>
      <c r="G64" s="596"/>
      <c r="I64" s="608">
        <f>IF(E64="ja (enkel wanneer dit meegedeeld werd)",1,0)</f>
        <v>0</v>
      </c>
      <c r="J64" s="535" t="s">
        <v>2120</v>
      </c>
      <c r="K64" s="514"/>
      <c r="L64" s="550"/>
      <c r="M64" s="550"/>
      <c r="N64" s="514"/>
      <c r="O64" s="514"/>
      <c r="P64" s="514"/>
      <c r="Q64" s="514"/>
    </row>
    <row r="65" spans="2:17" ht="18" thickBot="1" x14ac:dyDescent="0.3">
      <c r="B65" s="531"/>
      <c r="C65" s="550"/>
      <c r="D65" s="550"/>
      <c r="E65" s="605"/>
      <c r="F65" s="550"/>
      <c r="G65" s="596"/>
      <c r="I65" s="514"/>
      <c r="J65" s="609">
        <f>I64</f>
        <v>0</v>
      </c>
      <c r="K65" s="514"/>
      <c r="L65" s="862"/>
      <c r="M65" s="862"/>
      <c r="N65" s="514"/>
      <c r="O65" s="514"/>
      <c r="P65" s="514"/>
      <c r="Q65" s="514"/>
    </row>
    <row r="66" spans="2:17" ht="17.5" x14ac:dyDescent="0.25">
      <c r="B66" s="1477" t="s">
        <v>1277</v>
      </c>
      <c r="C66" s="557">
        <v>41</v>
      </c>
      <c r="D66" s="628" t="s">
        <v>1278</v>
      </c>
      <c r="E66" s="576" t="s">
        <v>1540</v>
      </c>
      <c r="F66" s="550"/>
      <c r="G66" s="596"/>
      <c r="I66" s="577">
        <f>IF(E66="Beperkte standaardvoorzieningen",1,IF(E66="Specifiek geplaatst voor dit evenement",2,0))</f>
        <v>0</v>
      </c>
      <c r="J66" s="517"/>
      <c r="K66" s="514"/>
      <c r="L66" s="862"/>
      <c r="M66" s="862"/>
      <c r="N66" s="514"/>
      <c r="O66" s="514"/>
      <c r="P66" s="514"/>
      <c r="Q66" s="514"/>
    </row>
    <row r="67" spans="2:17" ht="17.5" x14ac:dyDescent="0.25">
      <c r="B67" s="1478"/>
      <c r="C67" s="788">
        <v>42</v>
      </c>
      <c r="D67" s="629" t="s">
        <v>1549</v>
      </c>
      <c r="E67" s="579" t="s">
        <v>1540</v>
      </c>
      <c r="F67" s="550"/>
      <c r="G67" s="596"/>
      <c r="I67" s="307">
        <f>IF(E67="Aparte communicatiestructuur voor dit evenement of geen communicatie",1,0)</f>
        <v>0</v>
      </c>
      <c r="J67" s="517"/>
      <c r="K67" s="514"/>
      <c r="L67" s="862"/>
      <c r="M67" s="862"/>
      <c r="N67" s="514"/>
      <c r="O67" s="514"/>
      <c r="P67" s="514"/>
      <c r="Q67" s="514"/>
    </row>
    <row r="68" spans="2:17" ht="17.5" x14ac:dyDescent="0.25">
      <c r="B68" s="1478"/>
      <c r="C68" s="562">
        <v>43</v>
      </c>
      <c r="D68" s="629" t="s">
        <v>900</v>
      </c>
      <c r="E68" s="579" t="s">
        <v>1540</v>
      </c>
      <c r="F68" s="550"/>
      <c r="G68" s="596"/>
      <c r="I68" s="308">
        <f t="shared" ref="I68:I77" si="1">IF(E68="ja",1,0)</f>
        <v>0</v>
      </c>
      <c r="J68" s="517"/>
      <c r="K68" s="514"/>
      <c r="L68" s="862"/>
      <c r="M68" s="862"/>
      <c r="N68" s="514"/>
      <c r="O68" s="514"/>
      <c r="P68" s="514"/>
      <c r="Q68" s="514"/>
    </row>
    <row r="69" spans="2:17" ht="42" x14ac:dyDescent="0.25">
      <c r="B69" s="1478"/>
      <c r="C69" s="562">
        <v>44</v>
      </c>
      <c r="D69" s="629" t="s">
        <v>899</v>
      </c>
      <c r="E69" s="579" t="s">
        <v>1540</v>
      </c>
      <c r="F69" s="550"/>
      <c r="G69" s="596"/>
      <c r="I69" s="308">
        <f t="shared" si="1"/>
        <v>0</v>
      </c>
      <c r="J69" s="517"/>
      <c r="K69" s="514"/>
      <c r="L69" s="862"/>
      <c r="M69" s="862"/>
      <c r="N69" s="514"/>
      <c r="O69" s="514"/>
      <c r="P69" s="514"/>
      <c r="Q69" s="514"/>
    </row>
    <row r="70" spans="2:17" ht="17.5" x14ac:dyDescent="0.25">
      <c r="B70" s="1478"/>
      <c r="C70" s="562">
        <v>45</v>
      </c>
      <c r="D70" s="629" t="s">
        <v>1376</v>
      </c>
      <c r="E70" s="579" t="s">
        <v>1540</v>
      </c>
      <c r="F70" s="550"/>
      <c r="G70" s="596"/>
      <c r="I70" s="308">
        <f t="shared" si="1"/>
        <v>0</v>
      </c>
      <c r="J70" s="517"/>
      <c r="K70" s="514"/>
      <c r="L70" s="862"/>
      <c r="M70" s="862"/>
      <c r="N70" s="514"/>
      <c r="O70" s="514"/>
      <c r="P70" s="514"/>
      <c r="Q70" s="514"/>
    </row>
    <row r="71" spans="2:17" ht="17.5" x14ac:dyDescent="0.25">
      <c r="B71" s="1478"/>
      <c r="C71" s="562">
        <v>46</v>
      </c>
      <c r="D71" s="629" t="s">
        <v>1377</v>
      </c>
      <c r="E71" s="579" t="s">
        <v>1540</v>
      </c>
      <c r="F71" s="1465"/>
      <c r="G71" s="1466"/>
      <c r="I71" s="308">
        <f t="shared" si="1"/>
        <v>0</v>
      </c>
      <c r="J71" s="517"/>
      <c r="K71" s="514"/>
      <c r="L71" s="862"/>
      <c r="M71" s="862"/>
      <c r="N71" s="514"/>
      <c r="O71" s="514"/>
      <c r="P71" s="514"/>
      <c r="Q71" s="514"/>
    </row>
    <row r="72" spans="2:17" ht="17.5" x14ac:dyDescent="0.25">
      <c r="B72" s="1478"/>
      <c r="C72" s="562">
        <v>47</v>
      </c>
      <c r="D72" s="629" t="s">
        <v>325</v>
      </c>
      <c r="E72" s="579" t="s">
        <v>1540</v>
      </c>
      <c r="F72" s="550"/>
      <c r="G72" s="596"/>
      <c r="I72" s="308">
        <f t="shared" si="1"/>
        <v>0</v>
      </c>
      <c r="J72" s="517"/>
      <c r="K72" s="514"/>
      <c r="L72" s="862"/>
      <c r="M72" s="862"/>
      <c r="N72" s="514"/>
      <c r="O72" s="514"/>
      <c r="P72" s="514"/>
      <c r="Q72" s="514"/>
    </row>
    <row r="73" spans="2:17" ht="33" customHeight="1" x14ac:dyDescent="0.25">
      <c r="B73" s="1478"/>
      <c r="C73" s="562">
        <v>48</v>
      </c>
      <c r="D73" s="629" t="s">
        <v>1852</v>
      </c>
      <c r="E73" s="579" t="s">
        <v>1540</v>
      </c>
      <c r="F73" s="550"/>
      <c r="G73" s="596"/>
      <c r="I73" s="308">
        <f t="shared" si="1"/>
        <v>0</v>
      </c>
      <c r="J73" s="517"/>
      <c r="K73" s="514"/>
      <c r="L73" s="862"/>
      <c r="M73" s="862"/>
      <c r="N73" s="514"/>
      <c r="O73" s="514"/>
      <c r="P73" s="514"/>
      <c r="Q73" s="514"/>
    </row>
    <row r="74" spans="2:17" ht="17.25" customHeight="1" x14ac:dyDescent="0.25">
      <c r="B74" s="1478"/>
      <c r="C74" s="788">
        <v>49</v>
      </c>
      <c r="D74" s="629" t="s">
        <v>326</v>
      </c>
      <c r="E74" s="579" t="s">
        <v>1540</v>
      </c>
      <c r="F74" s="550"/>
      <c r="G74" s="596"/>
      <c r="I74" s="308">
        <f t="shared" si="1"/>
        <v>0</v>
      </c>
      <c r="J74" s="517"/>
      <c r="K74" s="514"/>
      <c r="L74" s="862"/>
      <c r="M74" s="550"/>
      <c r="N74" s="514"/>
      <c r="O74" s="514"/>
      <c r="P74" s="514"/>
      <c r="Q74" s="514"/>
    </row>
    <row r="75" spans="2:17" ht="17.5" x14ac:dyDescent="0.25">
      <c r="B75" s="1478"/>
      <c r="C75" s="562">
        <v>50</v>
      </c>
      <c r="D75" s="629" t="s">
        <v>1557</v>
      </c>
      <c r="E75" s="798" t="str">
        <f>'LUIK 2 - RISICOVRAAG'!D8</f>
        <v>Maak uw keuze</v>
      </c>
      <c r="F75" s="550"/>
      <c r="G75" s="596"/>
      <c r="I75" s="308">
        <f t="shared" si="1"/>
        <v>0</v>
      </c>
      <c r="J75" s="517"/>
      <c r="K75" s="514"/>
      <c r="L75" s="862"/>
      <c r="M75" s="550"/>
      <c r="N75" s="514"/>
      <c r="O75" s="514"/>
      <c r="P75" s="514"/>
      <c r="Q75" s="514"/>
    </row>
    <row r="76" spans="2:17" ht="17.5" x14ac:dyDescent="0.25">
      <c r="B76" s="1478"/>
      <c r="C76" s="562">
        <v>51</v>
      </c>
      <c r="D76" s="629" t="s">
        <v>1558</v>
      </c>
      <c r="E76" s="800" t="str">
        <f>'LUIK 2 - RISICOVRAAG'!D7</f>
        <v>Maak uw keuze</v>
      </c>
      <c r="F76" s="550"/>
      <c r="G76" s="596"/>
      <c r="I76" s="308">
        <f t="shared" si="1"/>
        <v>0</v>
      </c>
      <c r="J76" s="517"/>
      <c r="K76" s="514"/>
      <c r="L76" s="862"/>
      <c r="M76" s="550"/>
      <c r="N76" s="514"/>
      <c r="O76" s="514"/>
      <c r="P76" s="514"/>
      <c r="Q76" s="514"/>
    </row>
    <row r="77" spans="2:17" ht="28.5" thickBot="1" x14ac:dyDescent="0.3">
      <c r="B77" s="1478"/>
      <c r="C77" s="562">
        <v>52</v>
      </c>
      <c r="D77" s="629" t="s">
        <v>1559</v>
      </c>
      <c r="E77" s="1157" t="str">
        <f>'LUIK Organisator'!E21</f>
        <v>In te vullen door de rampenambtenaar</v>
      </c>
      <c r="F77" s="550"/>
      <c r="G77" s="596"/>
      <c r="I77" s="308">
        <f t="shared" si="1"/>
        <v>0</v>
      </c>
      <c r="J77" s="517"/>
      <c r="K77" s="514"/>
      <c r="L77" s="550"/>
      <c r="M77" s="550"/>
      <c r="N77" s="514"/>
      <c r="O77" s="514"/>
      <c r="P77" s="514"/>
      <c r="Q77" s="514"/>
    </row>
    <row r="78" spans="2:17" ht="28.5" thickBot="1" x14ac:dyDescent="0.3">
      <c r="B78" s="1478"/>
      <c r="C78" s="562">
        <v>53</v>
      </c>
      <c r="D78" s="629" t="s">
        <v>1853</v>
      </c>
      <c r="E78" s="579" t="s">
        <v>1540</v>
      </c>
      <c r="F78" s="550"/>
      <c r="G78" s="596"/>
      <c r="I78" s="307">
        <f>IF(E78="Eigen security",1,IF(E78="Geen security",3,0))</f>
        <v>0</v>
      </c>
      <c r="J78" s="535" t="s">
        <v>2121</v>
      </c>
      <c r="K78" s="514"/>
      <c r="L78" s="550"/>
      <c r="M78" s="550"/>
      <c r="N78" s="514"/>
      <c r="O78" s="514"/>
      <c r="P78" s="514"/>
      <c r="Q78" s="514"/>
    </row>
    <row r="79" spans="2:17" ht="28.5" thickBot="1" x14ac:dyDescent="0.3">
      <c r="B79" s="1453"/>
      <c r="C79" s="594">
        <v>54</v>
      </c>
      <c r="D79" s="631" t="s">
        <v>1562</v>
      </c>
      <c r="E79" s="1158" t="str">
        <f>'LUIK Organisator'!E22</f>
        <v>In te vullen door de rampenambtenaar</v>
      </c>
      <c r="F79" s="600"/>
      <c r="G79" s="601"/>
      <c r="I79" s="610">
        <f>IF(E79="ja",1,0)</f>
        <v>0</v>
      </c>
      <c r="J79" s="611">
        <f>SUM(I66:I79)+I104</f>
        <v>1</v>
      </c>
      <c r="K79" s="514"/>
      <c r="L79" s="550"/>
      <c r="M79" s="550"/>
      <c r="N79" s="514"/>
      <c r="O79" s="514"/>
      <c r="P79" s="514"/>
      <c r="Q79" s="514"/>
    </row>
    <row r="80" spans="2:17" ht="10.5" customHeight="1" x14ac:dyDescent="0.25">
      <c r="B80" s="1000"/>
      <c r="C80" s="550"/>
      <c r="D80" s="1027"/>
      <c r="E80" s="605"/>
      <c r="F80" s="550"/>
      <c r="G80" s="550"/>
      <c r="I80" s="1028"/>
      <c r="J80" s="1029"/>
      <c r="K80" s="514"/>
      <c r="L80" s="1133"/>
      <c r="M80" s="550"/>
      <c r="N80" s="514"/>
      <c r="O80" s="514"/>
      <c r="P80" s="514"/>
      <c r="Q80" s="514"/>
    </row>
    <row r="81" spans="1:17" ht="17.5" x14ac:dyDescent="0.25">
      <c r="B81" s="1463" t="s">
        <v>1479</v>
      </c>
      <c r="C81" s="562">
        <v>55</v>
      </c>
      <c r="D81" s="629" t="s">
        <v>1605</v>
      </c>
      <c r="E81" s="1031" t="s">
        <v>1540</v>
      </c>
      <c r="F81" s="550"/>
      <c r="G81" s="550"/>
      <c r="I81" s="1030">
        <f t="shared" ref="I81:I89" si="2">IF(E81="JA",1,0)</f>
        <v>0</v>
      </c>
      <c r="J81" s="1029"/>
      <c r="K81" s="514"/>
      <c r="L81" s="550"/>
      <c r="M81" s="550"/>
      <c r="N81" s="514"/>
      <c r="O81" s="514"/>
      <c r="P81" s="514"/>
      <c r="Q81" s="514"/>
    </row>
    <row r="82" spans="1:17" ht="28" x14ac:dyDescent="0.25">
      <c r="B82" s="1463"/>
      <c r="C82" s="562">
        <v>56</v>
      </c>
      <c r="D82" s="629" t="s">
        <v>1606</v>
      </c>
      <c r="E82" s="1031" t="s">
        <v>1540</v>
      </c>
      <c r="F82" s="550"/>
      <c r="G82" s="550"/>
      <c r="I82" s="1030">
        <f>IF(E82="meer dan 1",1,IF(E82=1,1,0))</f>
        <v>0</v>
      </c>
      <c r="J82" s="1138" t="str">
        <f>E82</f>
        <v>Maak uw keuze</v>
      </c>
      <c r="K82" s="514"/>
      <c r="L82" s="1133"/>
      <c r="M82" s="550"/>
      <c r="N82" s="514"/>
      <c r="O82" s="514"/>
      <c r="P82" s="514"/>
      <c r="Q82" s="514"/>
    </row>
    <row r="83" spans="1:17" ht="28" x14ac:dyDescent="0.25">
      <c r="B83" s="1463"/>
      <c r="C83" s="562">
        <v>57</v>
      </c>
      <c r="D83" s="1032" t="s">
        <v>1811</v>
      </c>
      <c r="E83" s="1031" t="s">
        <v>1540</v>
      </c>
      <c r="F83" s="550"/>
      <c r="G83" s="550"/>
      <c r="I83" s="1030">
        <f>IF(OR(E83="gasflessen",E83="aansluiting op een electrogeengroep",E83="aansluiting op het elektriciteitsnet",E83="andere",E83="onbekend"),1,0)</f>
        <v>0</v>
      </c>
      <c r="J83" s="1029"/>
      <c r="K83" s="514"/>
      <c r="L83" s="1133"/>
      <c r="M83" s="550"/>
      <c r="N83" s="514"/>
      <c r="O83" s="514"/>
      <c r="P83" s="514"/>
      <c r="Q83" s="514"/>
    </row>
    <row r="84" spans="1:17" ht="17.5" x14ac:dyDescent="0.25">
      <c r="B84" s="1463"/>
      <c r="C84" s="562">
        <v>58</v>
      </c>
      <c r="D84" s="629" t="s">
        <v>1812</v>
      </c>
      <c r="E84" s="1031" t="s">
        <v>1540</v>
      </c>
      <c r="F84" s="550"/>
      <c r="G84" s="550"/>
      <c r="I84" s="1030">
        <f t="shared" si="2"/>
        <v>0</v>
      </c>
      <c r="J84" s="1029"/>
      <c r="K84" s="514"/>
      <c r="L84" s="550"/>
      <c r="M84" s="550"/>
      <c r="N84" s="514"/>
      <c r="O84" s="514"/>
      <c r="P84" s="514"/>
      <c r="Q84" s="514"/>
    </row>
    <row r="85" spans="1:17" ht="28" x14ac:dyDescent="0.25">
      <c r="B85" s="1463"/>
      <c r="C85" s="562">
        <v>59</v>
      </c>
      <c r="D85" s="629" t="s">
        <v>1607</v>
      </c>
      <c r="E85" s="1031" t="s">
        <v>1540</v>
      </c>
      <c r="F85" s="550"/>
      <c r="G85" s="550"/>
      <c r="I85" s="1030">
        <f t="shared" si="2"/>
        <v>0</v>
      </c>
      <c r="J85" s="1029"/>
      <c r="K85" s="514"/>
      <c r="L85" s="550"/>
      <c r="M85" s="550"/>
      <c r="N85" s="514"/>
      <c r="O85" s="514"/>
      <c r="P85" s="514"/>
      <c r="Q85" s="514"/>
    </row>
    <row r="86" spans="1:17" ht="28" x14ac:dyDescent="0.25">
      <c r="B86" s="1463"/>
      <c r="C86" s="562">
        <v>60</v>
      </c>
      <c r="D86" s="629" t="s">
        <v>1813</v>
      </c>
      <c r="E86" s="1031" t="s">
        <v>1540</v>
      </c>
      <c r="F86" s="550"/>
      <c r="G86" s="550"/>
      <c r="I86" s="1030">
        <f>IF(E86="niet van toepassing",0,1)</f>
        <v>1</v>
      </c>
      <c r="J86" s="1029"/>
      <c r="K86" s="514"/>
      <c r="L86" s="1133"/>
      <c r="M86" s="550"/>
      <c r="N86" s="514"/>
      <c r="O86" s="514"/>
      <c r="P86" s="514"/>
      <c r="Q86" s="514"/>
    </row>
    <row r="87" spans="1:17" ht="17.5" x14ac:dyDescent="0.25">
      <c r="B87" s="1463"/>
      <c r="C87" s="562">
        <v>61</v>
      </c>
      <c r="D87" s="629" t="s">
        <v>1814</v>
      </c>
      <c r="E87" s="1031" t="s">
        <v>1540</v>
      </c>
      <c r="F87" s="550"/>
      <c r="G87" s="550"/>
      <c r="I87" s="1030">
        <f t="shared" si="2"/>
        <v>0</v>
      </c>
      <c r="J87" s="1029"/>
      <c r="K87" s="514"/>
      <c r="L87" s="550"/>
      <c r="M87" s="550"/>
      <c r="N87" s="514"/>
      <c r="O87" s="514"/>
      <c r="P87" s="514"/>
      <c r="Q87" s="514"/>
    </row>
    <row r="88" spans="1:17" ht="42" x14ac:dyDescent="0.25">
      <c r="B88" s="1463"/>
      <c r="C88" s="562">
        <v>62</v>
      </c>
      <c r="D88" s="1032" t="s">
        <v>1816</v>
      </c>
      <c r="E88" s="1031" t="s">
        <v>1540</v>
      </c>
      <c r="F88" s="550"/>
      <c r="G88" s="550"/>
      <c r="I88" s="1030">
        <f t="shared" si="2"/>
        <v>0</v>
      </c>
      <c r="J88" s="1029"/>
      <c r="K88" s="514"/>
      <c r="L88" s="550"/>
      <c r="M88" s="550"/>
      <c r="N88" s="514"/>
      <c r="O88" s="514"/>
      <c r="P88" s="514"/>
      <c r="Q88" s="514"/>
    </row>
    <row r="89" spans="1:17" ht="28" x14ac:dyDescent="0.25">
      <c r="B89" s="1463"/>
      <c r="C89" s="562">
        <v>63</v>
      </c>
      <c r="D89" s="1032" t="s">
        <v>1815</v>
      </c>
      <c r="E89" s="1031" t="s">
        <v>1540</v>
      </c>
      <c r="F89" s="550"/>
      <c r="G89" s="550"/>
      <c r="I89" s="1030">
        <f t="shared" si="2"/>
        <v>0</v>
      </c>
      <c r="J89" s="1029"/>
      <c r="K89" s="514"/>
      <c r="L89" s="550"/>
      <c r="M89" s="550"/>
      <c r="N89" s="514"/>
      <c r="O89" s="514"/>
      <c r="P89" s="514"/>
      <c r="Q89" s="514"/>
    </row>
    <row r="90" spans="1:17" ht="13" thickBot="1" x14ac:dyDescent="0.3">
      <c r="B90" s="514"/>
      <c r="C90" s="514"/>
      <c r="D90" s="514"/>
      <c r="E90" s="514"/>
      <c r="F90" s="514"/>
      <c r="G90" s="514"/>
      <c r="I90" s="514"/>
      <c r="J90" s="517"/>
      <c r="K90" s="514"/>
      <c r="L90" s="550"/>
      <c r="M90" s="550"/>
      <c r="N90" s="514"/>
      <c r="O90" s="514"/>
      <c r="P90" s="514"/>
      <c r="Q90" s="514"/>
    </row>
    <row r="91" spans="1:17" ht="14.5" thickBot="1" x14ac:dyDescent="0.3">
      <c r="A91" s="1428" t="s">
        <v>1563</v>
      </c>
      <c r="B91" s="1429"/>
      <c r="C91" s="1429"/>
      <c r="D91" s="1429"/>
      <c r="E91" s="1429"/>
      <c r="F91" s="1429"/>
      <c r="G91" s="1429"/>
      <c r="H91" s="771"/>
      <c r="I91" s="1436" t="s">
        <v>2129</v>
      </c>
      <c r="J91" s="1437"/>
      <c r="K91" s="514"/>
      <c r="L91" s="550"/>
      <c r="M91" s="550"/>
      <c r="N91" s="514"/>
      <c r="O91" s="514"/>
      <c r="P91" s="514"/>
      <c r="Q91" s="514"/>
    </row>
    <row r="92" spans="1:17" ht="13" thickBot="1" x14ac:dyDescent="0.3">
      <c r="B92" s="514"/>
      <c r="C92" s="514"/>
      <c r="D92" s="514"/>
      <c r="E92" s="514"/>
      <c r="F92" s="514"/>
      <c r="G92" s="514"/>
      <c r="I92" s="514"/>
      <c r="J92" s="517"/>
      <c r="K92" s="514"/>
      <c r="L92" s="550"/>
      <c r="M92" s="550"/>
      <c r="N92" s="514"/>
      <c r="O92" s="514"/>
      <c r="P92" s="514"/>
      <c r="Q92" s="514"/>
    </row>
    <row r="93" spans="1:17" ht="13.5" thickBot="1" x14ac:dyDescent="0.3">
      <c r="B93" s="612" t="s">
        <v>1511</v>
      </c>
      <c r="C93" s="613" t="s">
        <v>1512</v>
      </c>
      <c r="D93" s="614" t="s">
        <v>1692</v>
      </c>
      <c r="E93" s="1457" t="s">
        <v>1771</v>
      </c>
      <c r="F93" s="1455"/>
      <c r="G93" s="1456"/>
      <c r="I93" s="574" t="s">
        <v>1772</v>
      </c>
      <c r="J93" s="517"/>
      <c r="K93" s="514"/>
      <c r="L93" s="550"/>
      <c r="M93" s="550"/>
      <c r="N93" s="514"/>
      <c r="O93" s="514"/>
      <c r="P93" s="514"/>
      <c r="Q93" s="514"/>
    </row>
    <row r="94" spans="1:17" ht="28" x14ac:dyDescent="0.25">
      <c r="B94" s="1477" t="s">
        <v>1572</v>
      </c>
      <c r="C94" s="557">
        <v>64</v>
      </c>
      <c r="D94" s="634" t="s">
        <v>1564</v>
      </c>
      <c r="E94" s="576" t="s">
        <v>1540</v>
      </c>
      <c r="F94" s="615"/>
      <c r="G94" s="616"/>
      <c r="I94" s="617">
        <f>IF(E94="neen",1,IF(E94="onbekend",1,0))</f>
        <v>0</v>
      </c>
      <c r="J94" s="517"/>
      <c r="K94" s="514"/>
      <c r="L94" s="550"/>
      <c r="M94" s="550"/>
      <c r="N94" s="514"/>
      <c r="O94" s="514"/>
      <c r="P94" s="514"/>
      <c r="Q94" s="514"/>
    </row>
    <row r="95" spans="1:17" ht="28" x14ac:dyDescent="0.25">
      <c r="B95" s="1478"/>
      <c r="C95" s="562">
        <v>65</v>
      </c>
      <c r="D95" s="635" t="s">
        <v>1565</v>
      </c>
      <c r="E95" s="579" t="s">
        <v>1540</v>
      </c>
      <c r="F95" s="550"/>
      <c r="G95" s="596"/>
      <c r="I95" s="308">
        <f>IF(E95="neen",1,IF(E95="onbekend",1,0))</f>
        <v>0</v>
      </c>
      <c r="J95" s="517"/>
      <c r="K95" s="514"/>
      <c r="L95" s="550"/>
      <c r="M95" s="550"/>
      <c r="N95" s="514"/>
      <c r="O95" s="514"/>
      <c r="P95" s="514"/>
      <c r="Q95" s="514"/>
    </row>
    <row r="96" spans="1:17" ht="42" x14ac:dyDescent="0.25">
      <c r="B96" s="1478"/>
      <c r="C96" s="788">
        <v>66</v>
      </c>
      <c r="D96" s="629" t="s">
        <v>328</v>
      </c>
      <c r="E96" s="579" t="s">
        <v>1540</v>
      </c>
      <c r="F96" s="550"/>
      <c r="G96" s="596"/>
      <c r="I96" s="308">
        <f>IF(E96="neen",1,0)</f>
        <v>0</v>
      </c>
      <c r="J96" s="517"/>
      <c r="K96" s="514"/>
      <c r="L96" s="550"/>
      <c r="M96" s="550"/>
      <c r="N96" s="514"/>
      <c r="O96" s="514"/>
      <c r="P96" s="514"/>
      <c r="Q96" s="514"/>
    </row>
    <row r="97" spans="2:17" ht="42" x14ac:dyDescent="0.25">
      <c r="B97" s="1478"/>
      <c r="C97" s="562">
        <v>67</v>
      </c>
      <c r="D97" s="838" t="s">
        <v>138</v>
      </c>
      <c r="E97" s="1157" t="str">
        <f>'LUIK Organisator'!E24</f>
        <v>In te vullen door de rampenambtenaar</v>
      </c>
      <c r="F97" s="550"/>
      <c r="G97" s="596"/>
      <c r="I97" s="308">
        <f>IF(E97="neen",1,IF(E97="onbekend",1,0))</f>
        <v>0</v>
      </c>
      <c r="J97" s="517"/>
      <c r="K97" s="514"/>
      <c r="L97" s="550"/>
      <c r="M97" s="550"/>
      <c r="N97" s="514"/>
      <c r="O97" s="514"/>
      <c r="P97" s="514"/>
      <c r="Q97" s="514"/>
    </row>
    <row r="98" spans="2:17" ht="28.5" thickBot="1" x14ac:dyDescent="0.3">
      <c r="B98" s="1478"/>
      <c r="C98" s="562">
        <v>68</v>
      </c>
      <c r="D98" s="635" t="s">
        <v>2095</v>
      </c>
      <c r="E98" s="1157" t="str">
        <f>'LUIK Organisator'!E25</f>
        <v>In te vullen door de rampenambtenaar</v>
      </c>
      <c r="F98" s="550"/>
      <c r="G98" s="596"/>
      <c r="I98" s="308">
        <f>IF(E98="neen",1,IF(E98="onbekend",1,0))</f>
        <v>0</v>
      </c>
      <c r="J98" s="517"/>
      <c r="K98" s="514"/>
      <c r="L98" s="514"/>
      <c r="M98" s="514"/>
      <c r="N98" s="514"/>
      <c r="O98" s="514"/>
      <c r="P98" s="514"/>
      <c r="Q98" s="514"/>
    </row>
    <row r="99" spans="2:17" ht="28.5" thickBot="1" x14ac:dyDescent="0.3">
      <c r="B99" s="1453"/>
      <c r="C99" s="594">
        <v>69</v>
      </c>
      <c r="D99" s="636" t="s">
        <v>1571</v>
      </c>
      <c r="E99" s="1158" t="str">
        <f>'LUIK Organisator'!E26</f>
        <v>In te vullen door de rampenambtenaar</v>
      </c>
      <c r="F99" s="600"/>
      <c r="G99" s="601"/>
      <c r="I99" s="610">
        <f>IF(E99="neen",1,0)</f>
        <v>0</v>
      </c>
      <c r="J99" s="566" t="s">
        <v>2122</v>
      </c>
      <c r="K99" s="514"/>
      <c r="L99" s="514"/>
      <c r="M99" s="514"/>
      <c r="N99" s="514"/>
      <c r="O99" s="514"/>
      <c r="P99" s="514"/>
      <c r="Q99" s="514"/>
    </row>
    <row r="100" spans="2:17" ht="27" customHeight="1" thickBot="1" x14ac:dyDescent="0.3">
      <c r="B100" s="801"/>
      <c r="C100" s="550"/>
      <c r="D100" s="550"/>
      <c r="E100" s="550"/>
      <c r="F100" s="550"/>
      <c r="G100" s="596"/>
      <c r="I100" s="514"/>
      <c r="J100" s="902">
        <f>SUM(I94:I99)</f>
        <v>0</v>
      </c>
      <c r="K100" s="514"/>
      <c r="L100" s="514"/>
      <c r="M100" s="514"/>
      <c r="N100" s="514"/>
      <c r="O100" s="514"/>
      <c r="P100" s="514"/>
      <c r="Q100" s="514"/>
    </row>
    <row r="101" spans="2:17" ht="42.5" thickBot="1" x14ac:dyDescent="0.3">
      <c r="B101" s="1477" t="s">
        <v>205</v>
      </c>
      <c r="C101" s="557">
        <v>70</v>
      </c>
      <c r="D101" s="628" t="s">
        <v>1107</v>
      </c>
      <c r="E101" s="1159" t="str">
        <f>'LUIK Organisator'!E29</f>
        <v>neen</v>
      </c>
      <c r="F101" s="615"/>
      <c r="G101" s="616"/>
      <c r="I101" s="617">
        <f>IF(E101="neen",1,IF(E101="niet van toepassing","nihil",0))</f>
        <v>1</v>
      </c>
      <c r="J101" s="517"/>
      <c r="K101" s="514"/>
      <c r="L101" s="514"/>
      <c r="M101" s="514"/>
      <c r="N101" s="514"/>
      <c r="O101" s="514"/>
      <c r="P101" s="514"/>
      <c r="Q101" s="514"/>
    </row>
    <row r="102" spans="2:17" ht="28.5" thickBot="1" x14ac:dyDescent="0.3">
      <c r="B102" s="1453"/>
      <c r="C102" s="594">
        <v>71</v>
      </c>
      <c r="D102" s="631" t="s">
        <v>206</v>
      </c>
      <c r="E102" s="1160" t="str">
        <f>'LUIK Organisator'!E30</f>
        <v>In te vullen door FOD</v>
      </c>
      <c r="F102" s="600"/>
      <c r="G102" s="601"/>
      <c r="I102" s="617">
        <f>IF(E102="neen",1,IF(E102="niet van toepassing","nihil",IF(E102="onbekend",1,0)))</f>
        <v>0</v>
      </c>
      <c r="J102" s="517"/>
      <c r="K102" s="514"/>
      <c r="L102" s="514"/>
      <c r="M102" s="514"/>
      <c r="N102" s="514"/>
      <c r="O102" s="514"/>
      <c r="P102" s="514"/>
      <c r="Q102" s="514"/>
    </row>
    <row r="103" spans="2:17" ht="13" thickBot="1" x14ac:dyDescent="0.3">
      <c r="B103" s="514"/>
      <c r="C103" s="514"/>
      <c r="D103" s="514"/>
      <c r="E103" s="514"/>
      <c r="F103" s="514"/>
      <c r="G103" s="514"/>
      <c r="I103" s="514"/>
      <c r="J103" s="517"/>
      <c r="K103" s="514"/>
      <c r="L103" s="514"/>
      <c r="M103" s="514"/>
      <c r="N103" s="514"/>
      <c r="O103" s="514"/>
      <c r="P103" s="514"/>
      <c r="Q103" s="514"/>
    </row>
    <row r="104" spans="2:17" ht="42.5" thickBot="1" x14ac:dyDescent="0.3">
      <c r="B104" s="619" t="s">
        <v>198</v>
      </c>
      <c r="C104" s="607">
        <v>72</v>
      </c>
      <c r="D104" s="637" t="s">
        <v>498</v>
      </c>
      <c r="E104" s="1161" t="str">
        <f>'LUIK Organisator'!E32</f>
        <v>ja</v>
      </c>
      <c r="F104" s="620"/>
      <c r="G104" s="621"/>
      <c r="I104" s="610">
        <f>IF(E104="ja",1,IF(E104="onbekend",1,0))</f>
        <v>1</v>
      </c>
      <c r="J104" s="517"/>
      <c r="K104" s="514"/>
      <c r="L104" s="514"/>
      <c r="M104" s="514"/>
      <c r="N104" s="514"/>
      <c r="O104" s="514"/>
      <c r="P104" s="514"/>
      <c r="Q104" s="514"/>
    </row>
    <row r="105" spans="2:17" x14ac:dyDescent="0.25">
      <c r="B105" s="514"/>
      <c r="C105" s="514"/>
      <c r="D105" s="514"/>
      <c r="E105" s="514"/>
      <c r="F105" s="514"/>
      <c r="G105" s="514"/>
      <c r="I105" s="514"/>
      <c r="J105" s="517"/>
      <c r="K105" s="514"/>
      <c r="L105" s="514"/>
      <c r="M105" s="514"/>
      <c r="N105" s="514"/>
      <c r="O105" s="514"/>
      <c r="P105" s="514"/>
      <c r="Q105" s="514"/>
    </row>
    <row r="106" spans="2:17" x14ac:dyDescent="0.25">
      <c r="B106" s="514"/>
      <c r="C106" s="514"/>
      <c r="D106" s="514"/>
      <c r="E106" s="514"/>
      <c r="F106" s="514"/>
      <c r="G106" s="514"/>
      <c r="I106" s="514"/>
      <c r="J106" s="517"/>
      <c r="K106" s="514"/>
      <c r="L106" s="514"/>
      <c r="M106" s="514"/>
      <c r="N106" s="514"/>
      <c r="O106" s="514"/>
      <c r="P106" s="514"/>
      <c r="Q106" s="514"/>
    </row>
    <row r="107" spans="2:17" x14ac:dyDescent="0.25">
      <c r="B107" s="514"/>
      <c r="C107" s="514"/>
      <c r="D107" s="514"/>
      <c r="E107" s="514"/>
      <c r="F107" s="514"/>
      <c r="G107" s="514"/>
      <c r="I107" s="514"/>
      <c r="J107" s="517"/>
      <c r="K107" s="514"/>
      <c r="L107" s="514"/>
      <c r="M107" s="514"/>
      <c r="N107" s="514"/>
      <c r="O107" s="514"/>
      <c r="P107" s="514"/>
      <c r="Q107" s="514"/>
    </row>
    <row r="108" spans="2:17" x14ac:dyDescent="0.25">
      <c r="B108" s="514"/>
      <c r="C108" s="514"/>
      <c r="D108" s="514"/>
      <c r="E108" s="514"/>
      <c r="F108" s="514"/>
      <c r="G108" s="514"/>
      <c r="I108" s="514"/>
      <c r="J108" s="517"/>
      <c r="K108" s="514"/>
      <c r="L108" s="514"/>
      <c r="M108" s="514"/>
      <c r="N108" s="514"/>
      <c r="O108" s="514"/>
      <c r="P108" s="514"/>
      <c r="Q108" s="514"/>
    </row>
    <row r="109" spans="2:17" x14ac:dyDescent="0.25">
      <c r="B109" s="514"/>
      <c r="C109" s="514"/>
      <c r="D109" s="514"/>
      <c r="E109" s="514"/>
      <c r="F109" s="514"/>
      <c r="G109" s="514"/>
      <c r="I109" s="514"/>
      <c r="J109" s="517"/>
      <c r="K109" s="514"/>
      <c r="L109" s="514"/>
      <c r="M109" s="514"/>
      <c r="N109" s="514"/>
      <c r="O109" s="514"/>
      <c r="P109" s="514"/>
      <c r="Q109" s="514"/>
    </row>
    <row r="110" spans="2:17" x14ac:dyDescent="0.25">
      <c r="B110" s="514"/>
      <c r="C110" s="514"/>
      <c r="D110" s="514"/>
      <c r="E110" s="514"/>
      <c r="F110" s="514"/>
      <c r="G110" s="514"/>
      <c r="I110" s="514"/>
      <c r="J110" s="517"/>
      <c r="K110" s="514"/>
      <c r="L110" s="514"/>
      <c r="M110" s="514"/>
      <c r="N110" s="514"/>
      <c r="O110" s="514"/>
      <c r="P110" s="514"/>
      <c r="Q110" s="514"/>
    </row>
    <row r="111" spans="2:17" x14ac:dyDescent="0.25">
      <c r="B111" s="514"/>
      <c r="C111" s="514"/>
      <c r="D111" s="514"/>
      <c r="E111" s="514"/>
      <c r="F111" s="514"/>
      <c r="G111" s="514"/>
      <c r="I111" s="514"/>
      <c r="J111" s="517"/>
      <c r="K111" s="514"/>
      <c r="L111" s="514"/>
      <c r="M111" s="514"/>
      <c r="N111" s="514"/>
      <c r="O111" s="514"/>
      <c r="P111" s="514"/>
      <c r="Q111" s="514"/>
    </row>
    <row r="112" spans="2:17" x14ac:dyDescent="0.25">
      <c r="B112" s="514"/>
      <c r="C112" s="514"/>
      <c r="D112" s="514"/>
      <c r="E112" s="514"/>
      <c r="F112" s="514"/>
      <c r="G112" s="514"/>
      <c r="I112" s="514"/>
      <c r="J112" s="517"/>
      <c r="K112" s="514"/>
      <c r="L112" s="514"/>
      <c r="M112" s="514"/>
      <c r="N112" s="514"/>
      <c r="O112" s="514"/>
      <c r="P112" s="514"/>
      <c r="Q112" s="514"/>
    </row>
    <row r="113" spans="2:17" x14ac:dyDescent="0.25">
      <c r="B113" s="514"/>
      <c r="C113" s="514"/>
      <c r="D113" s="514"/>
      <c r="E113" s="514"/>
      <c r="F113" s="514"/>
      <c r="G113" s="514"/>
      <c r="I113" s="514"/>
      <c r="J113" s="517"/>
      <c r="K113" s="514"/>
      <c r="L113" s="514"/>
      <c r="M113" s="514"/>
      <c r="N113" s="514"/>
      <c r="O113" s="514"/>
      <c r="P113" s="514"/>
      <c r="Q113" s="514"/>
    </row>
    <row r="114" spans="2:17" x14ac:dyDescent="0.25">
      <c r="B114" s="514"/>
      <c r="C114" s="514"/>
      <c r="D114" s="514"/>
      <c r="E114" s="514"/>
      <c r="F114" s="514"/>
      <c r="G114" s="514"/>
      <c r="I114" s="514"/>
      <c r="J114" s="517"/>
      <c r="K114" s="514"/>
      <c r="L114" s="514"/>
      <c r="M114" s="514"/>
      <c r="N114" s="514"/>
      <c r="O114" s="514"/>
      <c r="P114" s="514"/>
      <c r="Q114" s="514"/>
    </row>
    <row r="115" spans="2:17" x14ac:dyDescent="0.25">
      <c r="B115" s="514"/>
      <c r="C115" s="514"/>
      <c r="D115" s="514"/>
      <c r="E115" s="514"/>
      <c r="F115" s="514"/>
      <c r="G115" s="514"/>
      <c r="I115" s="514"/>
      <c r="J115" s="517"/>
      <c r="K115" s="514"/>
      <c r="L115" s="514"/>
      <c r="M115" s="514"/>
      <c r="N115" s="514"/>
      <c r="O115" s="514"/>
      <c r="P115" s="514"/>
      <c r="Q115" s="514"/>
    </row>
    <row r="116" spans="2:17" x14ac:dyDescent="0.25">
      <c r="B116" s="514"/>
      <c r="C116" s="514"/>
      <c r="D116" s="514"/>
      <c r="E116" s="514"/>
      <c r="F116" s="514"/>
      <c r="G116" s="514"/>
      <c r="I116" s="514"/>
      <c r="J116" s="517"/>
      <c r="K116" s="514"/>
      <c r="L116" s="514"/>
      <c r="M116" s="514"/>
      <c r="N116" s="514"/>
      <c r="O116" s="514"/>
      <c r="P116" s="514"/>
      <c r="Q116" s="514"/>
    </row>
    <row r="117" spans="2:17" x14ac:dyDescent="0.25">
      <c r="B117" s="514"/>
      <c r="C117" s="514"/>
      <c r="D117" s="514"/>
      <c r="E117" s="514"/>
      <c r="F117" s="514"/>
      <c r="G117" s="514"/>
      <c r="I117" s="514"/>
      <c r="J117" s="517"/>
      <c r="K117" s="514"/>
      <c r="L117" s="514"/>
      <c r="M117" s="514"/>
      <c r="N117" s="514"/>
      <c r="O117" s="514"/>
      <c r="P117" s="514"/>
      <c r="Q117" s="514"/>
    </row>
    <row r="118" spans="2:17" x14ac:dyDescent="0.25">
      <c r="B118" s="514"/>
      <c r="C118" s="514"/>
      <c r="D118" s="514"/>
      <c r="E118" s="514"/>
      <c r="F118" s="514"/>
      <c r="G118" s="514"/>
      <c r="I118" s="514"/>
      <c r="J118" s="517"/>
      <c r="K118" s="514"/>
      <c r="L118" s="514"/>
      <c r="M118" s="514"/>
      <c r="N118" s="514"/>
      <c r="O118" s="514"/>
      <c r="P118" s="514"/>
      <c r="Q118" s="514"/>
    </row>
    <row r="119" spans="2:17" x14ac:dyDescent="0.25">
      <c r="B119" s="514"/>
      <c r="C119" s="514"/>
      <c r="D119" s="514"/>
      <c r="E119" s="514"/>
      <c r="F119" s="514"/>
      <c r="G119" s="514"/>
      <c r="I119" s="514"/>
      <c r="J119" s="622"/>
      <c r="K119" s="514"/>
      <c r="L119" s="514"/>
      <c r="M119" s="514"/>
      <c r="N119" s="514"/>
      <c r="O119" s="514"/>
      <c r="P119" s="514"/>
      <c r="Q119" s="514"/>
    </row>
    <row r="120" spans="2:17" hidden="1" x14ac:dyDescent="0.25">
      <c r="B120" s="514"/>
      <c r="C120" s="514"/>
      <c r="D120" s="514"/>
      <c r="E120" s="514"/>
      <c r="F120" s="514"/>
      <c r="G120" s="514"/>
      <c r="I120" s="514"/>
      <c r="J120" s="517"/>
      <c r="K120" s="514"/>
      <c r="L120" s="514"/>
      <c r="M120" s="514"/>
      <c r="N120" s="514"/>
      <c r="O120" s="514"/>
      <c r="P120" s="514"/>
      <c r="Q120" s="514"/>
    </row>
    <row r="121" spans="2:17" hidden="1" x14ac:dyDescent="0.25">
      <c r="B121" s="514"/>
      <c r="C121" s="514"/>
      <c r="D121" s="514"/>
      <c r="E121" s="623" t="s">
        <v>1492</v>
      </c>
      <c r="F121" s="624">
        <f>waardeluik1.1</f>
        <v>1</v>
      </c>
      <c r="G121" s="514"/>
      <c r="I121" s="514"/>
      <c r="J121" s="517"/>
      <c r="K121" s="514"/>
      <c r="L121" s="514"/>
      <c r="M121" s="514"/>
      <c r="N121" s="514"/>
      <c r="O121" s="514"/>
      <c r="P121" s="514"/>
      <c r="Q121" s="514"/>
    </row>
    <row r="122" spans="2:17" hidden="1" x14ac:dyDescent="0.25">
      <c r="B122" s="514"/>
      <c r="C122" s="514"/>
      <c r="D122" s="514"/>
      <c r="E122" s="623" t="s">
        <v>1493</v>
      </c>
      <c r="F122" s="624">
        <f>waardeluik2.2</f>
        <v>1</v>
      </c>
      <c r="G122" s="514"/>
      <c r="I122" s="514"/>
      <c r="J122" s="517"/>
      <c r="K122" s="514"/>
      <c r="L122" s="514"/>
      <c r="M122" s="514"/>
      <c r="N122" s="514"/>
      <c r="O122" s="514"/>
      <c r="P122" s="514"/>
      <c r="Q122" s="514"/>
    </row>
    <row r="123" spans="2:17" hidden="1" x14ac:dyDescent="0.25">
      <c r="B123" s="514"/>
      <c r="C123" s="514"/>
      <c r="D123" s="514"/>
      <c r="E123" s="623" t="s">
        <v>1757</v>
      </c>
      <c r="F123" s="624">
        <f>Waardeluik4.4</f>
        <v>1</v>
      </c>
      <c r="G123" s="514"/>
      <c r="I123" s="514"/>
      <c r="J123" s="517"/>
      <c r="K123" s="514"/>
      <c r="L123" s="514"/>
      <c r="M123" s="514"/>
      <c r="N123" s="514"/>
      <c r="O123" s="514"/>
      <c r="P123" s="514"/>
      <c r="Q123" s="514"/>
    </row>
    <row r="124" spans="2:17" hidden="1" x14ac:dyDescent="0.25">
      <c r="B124" s="514"/>
      <c r="C124" s="514"/>
      <c r="D124" s="514"/>
      <c r="E124" s="625" t="s">
        <v>1759</v>
      </c>
      <c r="F124" s="624">
        <f>IF(AND($E$42&lt;&gt;"Maak uw keuze",$E$43&lt;&gt;"Maak uw keuze",$E$44&lt;&gt;"Maak uw keuze",$E$45&lt;&gt;"Maak uw keuze",$E$46&lt;&gt;"Maak uw keuze",$E$47&lt;&gt;"Maak uw keuze",$E$48&lt;&gt;"Maak uw keuze",$E$53&lt;&gt;"Maak uw keuze",$E$54&lt;&gt;"Maak uw keuze",$E$55&lt;&gt;"Maak uw keuze",E9&lt;&gt;"",E12&lt;&gt;""),0,1)</f>
        <v>1</v>
      </c>
      <c r="G124" s="514"/>
      <c r="I124" s="514"/>
      <c r="J124" s="517"/>
      <c r="K124" s="514"/>
      <c r="L124" s="514"/>
      <c r="M124" s="514"/>
      <c r="N124" s="514"/>
      <c r="O124" s="514"/>
      <c r="P124" s="514"/>
      <c r="Q124" s="514"/>
    </row>
    <row r="125" spans="2:17" ht="17.5" hidden="1" x14ac:dyDescent="0.25">
      <c r="B125" s="514"/>
      <c r="C125" s="514"/>
      <c r="D125" s="514"/>
      <c r="E125" s="625" t="s">
        <v>1760</v>
      </c>
      <c r="F125" s="626" t="str">
        <f>IF(waardeluik1.1=1,"?",IF(waardeluik3.3=1,"?",IF(LUIK5!F13&gt;0.5,1,0)))</f>
        <v>?</v>
      </c>
      <c r="G125" s="514"/>
      <c r="I125" s="514"/>
      <c r="J125" s="517"/>
      <c r="K125" s="514"/>
      <c r="L125" s="514"/>
      <c r="M125" s="514"/>
      <c r="N125" s="514"/>
      <c r="O125" s="514"/>
      <c r="P125" s="514"/>
      <c r="Q125" s="514"/>
    </row>
    <row r="126" spans="2:17" hidden="1" x14ac:dyDescent="0.25">
      <c r="B126" s="514"/>
      <c r="C126" s="514"/>
      <c r="D126" s="514"/>
      <c r="E126" s="625" t="s">
        <v>1489</v>
      </c>
      <c r="F126" s="514">
        <f>SUM(F121:F125)</f>
        <v>4</v>
      </c>
      <c r="G126" s="514"/>
      <c r="I126" s="550"/>
      <c r="J126" s="517"/>
      <c r="K126" s="514"/>
      <c r="L126" s="514"/>
      <c r="M126" s="514"/>
      <c r="N126" s="514"/>
      <c r="O126" s="514"/>
      <c r="P126" s="514"/>
      <c r="Q126" s="514"/>
    </row>
    <row r="127" spans="2:17" x14ac:dyDescent="0.25">
      <c r="B127" s="514"/>
      <c r="C127" s="514"/>
      <c r="D127" s="514"/>
      <c r="E127" s="625"/>
      <c r="F127" s="514"/>
      <c r="G127" s="514"/>
      <c r="I127" s="514"/>
      <c r="J127" s="517"/>
      <c r="K127" s="514"/>
      <c r="L127" s="514"/>
      <c r="M127" s="514"/>
      <c r="N127" s="514"/>
      <c r="O127" s="514"/>
      <c r="P127" s="514"/>
      <c r="Q127" s="514"/>
    </row>
    <row r="128" spans="2:17" x14ac:dyDescent="0.25">
      <c r="B128" s="514"/>
      <c r="C128" s="514"/>
      <c r="D128" s="514"/>
      <c r="E128" s="514"/>
      <c r="F128" s="514"/>
      <c r="G128" s="514"/>
      <c r="I128" s="514"/>
      <c r="J128" s="517"/>
      <c r="K128" s="514"/>
      <c r="L128" s="514"/>
      <c r="M128" s="514"/>
      <c r="N128" s="514"/>
      <c r="O128" s="514"/>
      <c r="P128" s="514"/>
      <c r="Q128" s="514"/>
    </row>
    <row r="129" spans="2:17" x14ac:dyDescent="0.25">
      <c r="B129" s="514"/>
      <c r="C129" s="514"/>
      <c r="D129" s="514"/>
      <c r="E129" s="514"/>
      <c r="F129" s="514"/>
      <c r="G129" s="514"/>
      <c r="I129" s="514"/>
      <c r="J129" s="517"/>
      <c r="K129" s="514"/>
      <c r="L129" s="514"/>
      <c r="M129" s="514"/>
      <c r="N129" s="514"/>
      <c r="O129" s="514"/>
      <c r="P129" s="514"/>
      <c r="Q129" s="514"/>
    </row>
    <row r="130" spans="2:17" x14ac:dyDescent="0.25">
      <c r="B130" s="514"/>
      <c r="C130" s="514"/>
      <c r="D130" s="514"/>
      <c r="E130" s="514"/>
      <c r="F130" s="514"/>
      <c r="G130" s="514"/>
      <c r="I130" s="514"/>
      <c r="J130" s="517"/>
      <c r="K130" s="514"/>
      <c r="L130" s="514"/>
      <c r="M130" s="514"/>
      <c r="N130" s="514"/>
      <c r="O130" s="514"/>
      <c r="P130" s="514"/>
      <c r="Q130" s="514"/>
    </row>
    <row r="131" spans="2:17" x14ac:dyDescent="0.25">
      <c r="B131" s="514"/>
      <c r="C131" s="514"/>
      <c r="D131" s="514"/>
      <c r="E131" s="514"/>
      <c r="F131" s="514"/>
      <c r="G131" s="514"/>
      <c r="I131" s="514"/>
      <c r="J131" s="517"/>
      <c r="K131" s="514"/>
      <c r="L131" s="514"/>
      <c r="M131" s="514"/>
      <c r="N131" s="514"/>
      <c r="O131" s="514"/>
      <c r="P131" s="514"/>
      <c r="Q131" s="514"/>
    </row>
    <row r="132" spans="2:17" x14ac:dyDescent="0.25">
      <c r="B132" s="514"/>
      <c r="C132" s="514"/>
      <c r="D132" s="514"/>
      <c r="E132" s="514"/>
      <c r="F132" s="514"/>
      <c r="G132" s="514"/>
      <c r="I132" s="514"/>
      <c r="J132" s="517"/>
      <c r="K132" s="514"/>
      <c r="L132" s="514"/>
      <c r="M132" s="514"/>
      <c r="N132" s="514"/>
      <c r="O132" s="514"/>
      <c r="P132" s="514"/>
      <c r="Q132" s="514"/>
    </row>
    <row r="133" spans="2:17" x14ac:dyDescent="0.25">
      <c r="B133" s="514"/>
      <c r="C133" s="514"/>
      <c r="D133" s="514"/>
      <c r="E133" s="514"/>
      <c r="F133" s="514"/>
      <c r="G133" s="514"/>
      <c r="I133" s="514"/>
      <c r="J133" s="517"/>
      <c r="K133" s="514"/>
      <c r="L133" s="514"/>
      <c r="M133" s="514"/>
      <c r="N133" s="514"/>
      <c r="O133" s="514"/>
      <c r="P133" s="514"/>
      <c r="Q133" s="514"/>
    </row>
    <row r="134" spans="2:17" x14ac:dyDescent="0.25">
      <c r="B134" s="514"/>
      <c r="C134" s="514"/>
      <c r="D134" s="514"/>
      <c r="E134" s="514"/>
      <c r="F134" s="514"/>
      <c r="G134" s="514"/>
      <c r="I134" s="514"/>
      <c r="J134" s="517"/>
      <c r="K134" s="514"/>
      <c r="L134" s="514"/>
      <c r="M134" s="514"/>
      <c r="N134" s="514"/>
      <c r="O134" s="514"/>
      <c r="P134" s="514"/>
      <c r="Q134" s="514"/>
    </row>
    <row r="135" spans="2:17" x14ac:dyDescent="0.25">
      <c r="B135" s="514"/>
      <c r="C135" s="514"/>
      <c r="D135" s="514"/>
      <c r="E135" s="514"/>
      <c r="F135" s="514"/>
      <c r="G135" s="514"/>
      <c r="I135" s="514"/>
      <c r="J135" s="517"/>
      <c r="K135" s="514"/>
      <c r="L135" s="514"/>
      <c r="M135" s="514"/>
      <c r="N135" s="514"/>
      <c r="O135" s="514"/>
      <c r="P135" s="514"/>
      <c r="Q135" s="514"/>
    </row>
    <row r="136" spans="2:17" x14ac:dyDescent="0.25">
      <c r="B136" s="514"/>
      <c r="C136" s="514"/>
      <c r="D136" s="514"/>
      <c r="E136" s="514"/>
      <c r="F136" s="514"/>
      <c r="G136" s="514"/>
      <c r="I136" s="514"/>
      <c r="J136" s="517"/>
      <c r="K136" s="514"/>
      <c r="L136" s="514"/>
      <c r="M136" s="514"/>
      <c r="N136" s="514"/>
      <c r="O136" s="514"/>
      <c r="P136" s="514"/>
      <c r="Q136" s="514"/>
    </row>
    <row r="137" spans="2:17" x14ac:dyDescent="0.25">
      <c r="B137" s="514"/>
      <c r="C137" s="514"/>
      <c r="D137" s="514"/>
      <c r="E137" s="514"/>
      <c r="F137" s="514"/>
      <c r="G137" s="514"/>
      <c r="I137" s="514"/>
      <c r="J137" s="517"/>
      <c r="K137" s="514"/>
      <c r="L137" s="514"/>
      <c r="M137" s="514"/>
      <c r="N137" s="514"/>
      <c r="O137" s="514"/>
      <c r="P137" s="514"/>
      <c r="Q137" s="514"/>
    </row>
    <row r="138" spans="2:17" x14ac:dyDescent="0.25">
      <c r="B138" s="514"/>
      <c r="C138" s="514"/>
      <c r="D138" s="514"/>
      <c r="E138" s="514"/>
      <c r="F138" s="514"/>
      <c r="G138" s="514"/>
      <c r="I138" s="514"/>
      <c r="J138" s="517"/>
      <c r="K138" s="514"/>
      <c r="L138" s="514"/>
      <c r="M138" s="514"/>
      <c r="N138" s="514"/>
      <c r="O138" s="514"/>
      <c r="P138" s="514"/>
      <c r="Q138" s="514"/>
    </row>
    <row r="139" spans="2:17" x14ac:dyDescent="0.25">
      <c r="B139" s="514"/>
      <c r="C139" s="514"/>
      <c r="D139" s="514"/>
      <c r="E139" s="514"/>
      <c r="F139" s="514"/>
      <c r="G139" s="514"/>
      <c r="I139" s="514"/>
      <c r="J139" s="517"/>
      <c r="K139" s="514"/>
      <c r="L139" s="514"/>
      <c r="M139" s="514"/>
      <c r="N139" s="514"/>
      <c r="O139" s="514"/>
      <c r="P139" s="514"/>
      <c r="Q139" s="514"/>
    </row>
    <row r="140" spans="2:17" x14ac:dyDescent="0.25">
      <c r="B140" s="514"/>
      <c r="C140" s="514"/>
      <c r="D140" s="514"/>
      <c r="E140" s="514"/>
      <c r="F140" s="514"/>
      <c r="G140" s="514"/>
      <c r="I140" s="514"/>
      <c r="J140" s="517"/>
      <c r="K140" s="514"/>
      <c r="L140" s="514"/>
      <c r="M140" s="514"/>
      <c r="N140" s="514"/>
      <c r="O140" s="514"/>
      <c r="P140" s="514"/>
      <c r="Q140" s="514"/>
    </row>
    <row r="141" spans="2:17" x14ac:dyDescent="0.25">
      <c r="B141" s="514"/>
      <c r="C141" s="514"/>
      <c r="D141" s="514"/>
      <c r="E141" s="514"/>
      <c r="F141" s="514"/>
      <c r="G141" s="514"/>
      <c r="I141" s="514"/>
      <c r="J141" s="517"/>
      <c r="K141" s="514"/>
      <c r="L141" s="514"/>
      <c r="M141" s="514"/>
      <c r="N141" s="514"/>
      <c r="O141" s="514"/>
      <c r="P141" s="514"/>
      <c r="Q141" s="514"/>
    </row>
    <row r="142" spans="2:17" x14ac:dyDescent="0.25">
      <c r="B142" s="514"/>
      <c r="C142" s="514"/>
      <c r="D142" s="514"/>
      <c r="E142" s="514"/>
      <c r="F142" s="514"/>
      <c r="G142" s="514"/>
      <c r="I142" s="514"/>
      <c r="J142" s="517"/>
      <c r="K142" s="514"/>
      <c r="L142" s="514"/>
      <c r="M142" s="514"/>
      <c r="N142" s="514"/>
      <c r="O142" s="514"/>
      <c r="P142" s="514"/>
      <c r="Q142" s="514"/>
    </row>
    <row r="143" spans="2:17" x14ac:dyDescent="0.25">
      <c r="B143" s="514"/>
      <c r="C143" s="514"/>
      <c r="D143" s="514"/>
      <c r="E143" s="514"/>
      <c r="F143" s="514"/>
      <c r="G143" s="514"/>
      <c r="I143" s="514"/>
      <c r="J143" s="517"/>
      <c r="K143" s="514"/>
      <c r="L143" s="514"/>
      <c r="M143" s="514"/>
      <c r="N143" s="514"/>
      <c r="O143" s="514"/>
      <c r="P143" s="514"/>
      <c r="Q143" s="514"/>
    </row>
    <row r="144" spans="2:17" x14ac:dyDescent="0.25">
      <c r="B144" s="514"/>
      <c r="C144" s="514"/>
      <c r="D144" s="514"/>
      <c r="E144" s="514"/>
      <c r="F144" s="514"/>
      <c r="G144" s="514"/>
      <c r="I144" s="514"/>
      <c r="J144" s="517"/>
      <c r="K144" s="514"/>
      <c r="L144" s="514"/>
      <c r="M144" s="514"/>
      <c r="N144" s="514"/>
      <c r="O144" s="514"/>
      <c r="P144" s="514"/>
      <c r="Q144" s="514"/>
    </row>
    <row r="145" spans="2:17" x14ac:dyDescent="0.25">
      <c r="B145" s="514"/>
      <c r="C145" s="514"/>
      <c r="D145" s="514"/>
      <c r="E145" s="514"/>
      <c r="F145" s="514"/>
      <c r="G145" s="514"/>
      <c r="I145" s="514"/>
      <c r="J145" s="517"/>
      <c r="K145" s="514"/>
      <c r="L145" s="514"/>
      <c r="M145" s="514"/>
      <c r="N145" s="514"/>
      <c r="O145" s="514"/>
      <c r="P145" s="514"/>
      <c r="Q145" s="514"/>
    </row>
    <row r="146" spans="2:17" x14ac:dyDescent="0.25">
      <c r="B146" s="514"/>
      <c r="C146" s="514"/>
      <c r="D146" s="514"/>
      <c r="E146" s="514"/>
      <c r="F146" s="514"/>
      <c r="G146" s="514"/>
      <c r="I146" s="514"/>
      <c r="J146" s="517"/>
      <c r="K146" s="514"/>
      <c r="L146" s="514"/>
      <c r="M146" s="514"/>
      <c r="N146" s="514"/>
      <c r="O146" s="514"/>
      <c r="P146" s="514"/>
      <c r="Q146" s="514"/>
    </row>
    <row r="147" spans="2:17" x14ac:dyDescent="0.25">
      <c r="B147" s="514"/>
      <c r="C147" s="514"/>
      <c r="D147" s="514"/>
      <c r="E147" s="514"/>
      <c r="F147" s="514"/>
      <c r="G147" s="514"/>
      <c r="I147" s="514"/>
      <c r="J147" s="517"/>
      <c r="K147" s="514"/>
      <c r="L147" s="514"/>
      <c r="M147" s="514"/>
      <c r="N147" s="514"/>
      <c r="O147" s="514"/>
      <c r="P147" s="514"/>
      <c r="Q147" s="514"/>
    </row>
    <row r="148" spans="2:17" x14ac:dyDescent="0.25">
      <c r="B148" s="514"/>
      <c r="C148" s="514"/>
      <c r="D148" s="514"/>
      <c r="E148" s="514"/>
      <c r="F148" s="514"/>
      <c r="G148" s="514"/>
      <c r="I148" s="514"/>
      <c r="J148" s="517"/>
      <c r="K148" s="514"/>
      <c r="L148" s="514"/>
      <c r="M148" s="514"/>
      <c r="N148" s="514"/>
      <c r="O148" s="514"/>
      <c r="P148" s="514"/>
      <c r="Q148" s="514"/>
    </row>
    <row r="149" spans="2:17" x14ac:dyDescent="0.25">
      <c r="B149" s="514"/>
      <c r="C149" s="514"/>
      <c r="D149" s="514"/>
      <c r="E149" s="514"/>
      <c r="F149" s="514"/>
      <c r="G149" s="514"/>
      <c r="I149" s="514"/>
      <c r="J149" s="517"/>
      <c r="K149" s="514"/>
      <c r="L149" s="514"/>
      <c r="M149" s="514"/>
      <c r="N149" s="514"/>
      <c r="O149" s="514"/>
      <c r="P149" s="514"/>
      <c r="Q149" s="514"/>
    </row>
    <row r="150" spans="2:17" x14ac:dyDescent="0.25">
      <c r="B150" s="514"/>
      <c r="C150" s="514"/>
      <c r="D150" s="514"/>
      <c r="E150" s="514"/>
      <c r="F150" s="514"/>
      <c r="G150" s="514"/>
      <c r="I150" s="514"/>
      <c r="J150" s="517"/>
      <c r="K150" s="514"/>
      <c r="L150" s="514"/>
      <c r="M150" s="514"/>
      <c r="N150" s="514"/>
      <c r="O150" s="514"/>
      <c r="P150" s="514"/>
      <c r="Q150" s="514"/>
    </row>
    <row r="151" spans="2:17" x14ac:dyDescent="0.25">
      <c r="B151" s="514"/>
      <c r="C151" s="514"/>
      <c r="D151" s="514"/>
      <c r="E151" s="514"/>
      <c r="F151" s="514"/>
      <c r="G151" s="514"/>
      <c r="I151" s="514"/>
      <c r="J151" s="517"/>
      <c r="K151" s="514"/>
      <c r="L151" s="514"/>
      <c r="M151" s="514"/>
      <c r="N151" s="514"/>
      <c r="O151" s="514"/>
      <c r="P151" s="514"/>
      <c r="Q151" s="514"/>
    </row>
    <row r="152" spans="2:17" x14ac:dyDescent="0.25">
      <c r="B152" s="514"/>
      <c r="C152" s="514"/>
      <c r="D152" s="514"/>
      <c r="E152" s="514"/>
      <c r="F152" s="514"/>
      <c r="G152" s="514"/>
      <c r="I152" s="514"/>
      <c r="J152" s="517"/>
      <c r="K152" s="514"/>
      <c r="L152" s="514"/>
      <c r="M152" s="514"/>
      <c r="N152" s="514"/>
      <c r="O152" s="514"/>
      <c r="P152" s="514"/>
      <c r="Q152" s="514"/>
    </row>
    <row r="153" spans="2:17" x14ac:dyDescent="0.25">
      <c r="B153" s="514"/>
      <c r="C153" s="514"/>
      <c r="D153" s="514"/>
      <c r="E153" s="514"/>
      <c r="F153" s="514"/>
      <c r="G153" s="514"/>
      <c r="I153" s="514"/>
      <c r="J153" s="517"/>
      <c r="K153" s="514"/>
      <c r="L153" s="514"/>
      <c r="M153" s="514"/>
      <c r="N153" s="514"/>
      <c r="O153" s="514"/>
      <c r="P153" s="514"/>
      <c r="Q153" s="514"/>
    </row>
    <row r="154" spans="2:17" x14ac:dyDescent="0.25">
      <c r="B154" s="514"/>
      <c r="C154" s="514"/>
      <c r="D154" s="514"/>
      <c r="E154" s="514"/>
      <c r="F154" s="514"/>
      <c r="G154" s="514"/>
      <c r="I154" s="514"/>
      <c r="J154" s="517"/>
      <c r="K154" s="514"/>
      <c r="L154" s="514"/>
      <c r="M154" s="514"/>
      <c r="N154" s="514"/>
      <c r="O154" s="514"/>
      <c r="P154" s="514"/>
      <c r="Q154" s="514"/>
    </row>
    <row r="155" spans="2:17" x14ac:dyDescent="0.25">
      <c r="B155" s="514"/>
      <c r="C155" s="514"/>
      <c r="D155" s="514"/>
      <c r="E155" s="514"/>
      <c r="F155" s="514"/>
      <c r="G155" s="514"/>
      <c r="I155" s="514"/>
      <c r="J155" s="517"/>
      <c r="K155" s="514"/>
      <c r="L155" s="514"/>
      <c r="M155" s="514"/>
      <c r="N155" s="514"/>
      <c r="O155" s="514"/>
      <c r="P155" s="514"/>
      <c r="Q155" s="514"/>
    </row>
    <row r="156" spans="2:17" x14ac:dyDescent="0.25">
      <c r="B156" s="514"/>
      <c r="C156" s="514"/>
      <c r="D156" s="514"/>
      <c r="E156" s="514"/>
      <c r="F156" s="514"/>
      <c r="G156" s="514"/>
      <c r="I156" s="514"/>
      <c r="J156" s="517"/>
      <c r="K156" s="514"/>
      <c r="L156" s="514"/>
      <c r="M156" s="514"/>
      <c r="N156" s="514"/>
      <c r="O156" s="514"/>
      <c r="P156" s="514"/>
      <c r="Q156" s="514"/>
    </row>
    <row r="157" spans="2:17" x14ac:dyDescent="0.25">
      <c r="B157" s="514"/>
      <c r="C157" s="514"/>
      <c r="D157" s="514"/>
      <c r="E157" s="514"/>
      <c r="F157" s="514"/>
      <c r="G157" s="514"/>
      <c r="I157" s="514"/>
      <c r="J157" s="517"/>
      <c r="K157" s="514"/>
      <c r="L157" s="514"/>
      <c r="M157" s="514"/>
      <c r="N157" s="514"/>
      <c r="O157" s="514"/>
      <c r="P157" s="514"/>
      <c r="Q157" s="514"/>
    </row>
    <row r="158" spans="2:17" x14ac:dyDescent="0.25">
      <c r="B158" s="514"/>
      <c r="C158" s="514"/>
      <c r="D158" s="514"/>
      <c r="E158" s="514"/>
      <c r="F158" s="514"/>
      <c r="G158" s="514"/>
      <c r="I158" s="514"/>
      <c r="J158" s="517"/>
      <c r="K158" s="514"/>
      <c r="L158" s="514"/>
      <c r="M158" s="514"/>
      <c r="N158" s="514"/>
      <c r="O158" s="514"/>
      <c r="P158" s="514"/>
      <c r="Q158" s="514"/>
    </row>
    <row r="159" spans="2:17" x14ac:dyDescent="0.25">
      <c r="B159" s="514"/>
      <c r="C159" s="514"/>
      <c r="D159" s="514"/>
      <c r="E159" s="514"/>
      <c r="F159" s="514"/>
      <c r="G159" s="514"/>
      <c r="I159" s="514"/>
      <c r="J159" s="517"/>
      <c r="K159" s="514"/>
      <c r="L159" s="514"/>
      <c r="M159" s="514"/>
      <c r="N159" s="514"/>
      <c r="O159" s="514"/>
      <c r="P159" s="514"/>
      <c r="Q159" s="514"/>
    </row>
    <row r="160" spans="2:17" x14ac:dyDescent="0.25">
      <c r="B160" s="514"/>
      <c r="C160" s="514"/>
      <c r="D160" s="514"/>
      <c r="E160" s="514"/>
      <c r="F160" s="514"/>
      <c r="G160" s="514"/>
      <c r="I160" s="514"/>
      <c r="J160" s="517"/>
      <c r="K160" s="514"/>
      <c r="L160" s="514"/>
      <c r="M160" s="514"/>
      <c r="N160" s="514"/>
      <c r="O160" s="514"/>
      <c r="P160" s="514"/>
      <c r="Q160" s="514"/>
    </row>
    <row r="161" spans="2:17" x14ac:dyDescent="0.25">
      <c r="B161" s="514"/>
      <c r="C161" s="514"/>
      <c r="D161" s="514"/>
      <c r="E161" s="514"/>
      <c r="F161" s="514"/>
      <c r="G161" s="514"/>
      <c r="I161" s="514"/>
      <c r="J161" s="517"/>
      <c r="K161" s="514"/>
      <c r="L161" s="514"/>
      <c r="M161" s="514"/>
      <c r="N161" s="514"/>
      <c r="O161" s="514"/>
      <c r="P161" s="514"/>
      <c r="Q161" s="514"/>
    </row>
    <row r="162" spans="2:17" x14ac:dyDescent="0.25">
      <c r="B162" s="514"/>
      <c r="C162" s="514"/>
      <c r="D162" s="514"/>
      <c r="E162" s="514"/>
      <c r="F162" s="514"/>
      <c r="G162" s="514"/>
      <c r="I162" s="514"/>
      <c r="J162" s="517"/>
      <c r="K162" s="514"/>
      <c r="L162" s="514"/>
      <c r="M162" s="514"/>
      <c r="N162" s="514"/>
      <c r="O162" s="514"/>
      <c r="P162" s="514"/>
      <c r="Q162" s="514"/>
    </row>
    <row r="163" spans="2:17" x14ac:dyDescent="0.25">
      <c r="B163" s="514"/>
      <c r="C163" s="514"/>
      <c r="D163" s="514"/>
      <c r="E163" s="514"/>
      <c r="F163" s="514"/>
      <c r="G163" s="514"/>
      <c r="I163" s="514"/>
      <c r="J163" s="517"/>
      <c r="K163" s="514"/>
      <c r="L163" s="514"/>
      <c r="M163" s="514"/>
      <c r="N163" s="514"/>
      <c r="O163" s="514"/>
      <c r="P163" s="514"/>
      <c r="Q163" s="514"/>
    </row>
    <row r="164" spans="2:17" x14ac:dyDescent="0.25">
      <c r="B164" s="514"/>
      <c r="C164" s="514"/>
      <c r="D164" s="514"/>
      <c r="E164" s="514"/>
      <c r="F164" s="514"/>
      <c r="G164" s="514"/>
      <c r="I164" s="514"/>
      <c r="J164" s="517"/>
      <c r="K164" s="514"/>
      <c r="L164" s="514"/>
      <c r="M164" s="514"/>
      <c r="N164" s="514"/>
      <c r="O164" s="514"/>
      <c r="P164" s="514"/>
      <c r="Q164" s="514"/>
    </row>
    <row r="165" spans="2:17" x14ac:dyDescent="0.25">
      <c r="B165" s="514"/>
      <c r="C165" s="514"/>
      <c r="D165" s="514"/>
      <c r="E165" s="514"/>
      <c r="F165" s="514"/>
      <c r="G165" s="514"/>
      <c r="I165" s="514"/>
      <c r="J165" s="517"/>
      <c r="K165" s="514"/>
      <c r="L165" s="514"/>
      <c r="M165" s="514"/>
      <c r="N165" s="514"/>
      <c r="O165" s="514"/>
      <c r="P165" s="514"/>
      <c r="Q165" s="514"/>
    </row>
    <row r="166" spans="2:17" x14ac:dyDescent="0.25">
      <c r="B166" s="514"/>
      <c r="C166" s="514"/>
      <c r="D166" s="514"/>
      <c r="E166" s="514"/>
      <c r="F166" s="514"/>
      <c r="G166" s="514"/>
      <c r="I166" s="514"/>
      <c r="J166" s="517"/>
      <c r="K166" s="514"/>
      <c r="L166" s="514"/>
      <c r="M166" s="514"/>
      <c r="N166" s="514"/>
      <c r="O166" s="514"/>
      <c r="P166" s="514"/>
      <c r="Q166" s="514"/>
    </row>
    <row r="167" spans="2:17" x14ac:dyDescent="0.25">
      <c r="B167" s="514"/>
      <c r="C167" s="514"/>
      <c r="D167" s="514"/>
      <c r="E167" s="514"/>
      <c r="F167" s="514"/>
      <c r="G167" s="514"/>
      <c r="I167" s="514"/>
      <c r="J167" s="517"/>
      <c r="K167" s="514"/>
      <c r="L167" s="514"/>
      <c r="M167" s="514"/>
      <c r="N167" s="514"/>
      <c r="O167" s="514"/>
      <c r="P167" s="514"/>
      <c r="Q167" s="514"/>
    </row>
    <row r="168" spans="2:17" x14ac:dyDescent="0.25">
      <c r="B168" s="514"/>
      <c r="C168" s="514"/>
      <c r="D168" s="514"/>
      <c r="E168" s="514"/>
      <c r="F168" s="514"/>
      <c r="G168" s="514"/>
      <c r="I168" s="514"/>
      <c r="J168" s="517"/>
      <c r="K168" s="514"/>
      <c r="L168" s="514"/>
      <c r="M168" s="514"/>
      <c r="N168" s="514"/>
      <c r="O168" s="514"/>
      <c r="P168" s="514"/>
      <c r="Q168" s="514"/>
    </row>
    <row r="169" spans="2:17" x14ac:dyDescent="0.25">
      <c r="B169" s="514"/>
      <c r="C169" s="514"/>
      <c r="D169" s="514"/>
      <c r="E169" s="514"/>
      <c r="F169" s="514"/>
      <c r="G169" s="514"/>
      <c r="I169" s="514"/>
      <c r="J169" s="517"/>
      <c r="K169" s="514"/>
      <c r="L169" s="514"/>
      <c r="M169" s="514"/>
      <c r="N169" s="514"/>
      <c r="O169" s="514"/>
      <c r="P169" s="514"/>
      <c r="Q169" s="514"/>
    </row>
    <row r="170" spans="2:17" x14ac:dyDescent="0.25">
      <c r="B170" s="514"/>
      <c r="C170" s="514"/>
      <c r="D170" s="514"/>
      <c r="E170" s="514"/>
      <c r="F170" s="514"/>
      <c r="G170" s="514"/>
      <c r="I170" s="514"/>
      <c r="J170" s="517"/>
      <c r="K170" s="514"/>
      <c r="L170" s="514"/>
      <c r="M170" s="514"/>
      <c r="N170" s="514"/>
      <c r="O170" s="514"/>
      <c r="P170" s="514"/>
      <c r="Q170" s="514"/>
    </row>
    <row r="171" spans="2:17" x14ac:dyDescent="0.25">
      <c r="B171" s="514"/>
      <c r="C171" s="514"/>
      <c r="D171" s="514"/>
      <c r="E171" s="514"/>
      <c r="F171" s="514"/>
      <c r="G171" s="514"/>
      <c r="I171" s="514"/>
      <c r="J171" s="517"/>
      <c r="K171" s="514"/>
      <c r="L171" s="514"/>
      <c r="M171" s="514"/>
      <c r="N171" s="514"/>
      <c r="O171" s="514"/>
      <c r="P171" s="514"/>
      <c r="Q171" s="514"/>
    </row>
    <row r="172" spans="2:17" x14ac:dyDescent="0.25">
      <c r="B172" s="514"/>
      <c r="C172" s="514"/>
      <c r="D172" s="514"/>
      <c r="E172" s="514"/>
      <c r="F172" s="514"/>
      <c r="G172" s="514"/>
      <c r="I172" s="514"/>
      <c r="J172" s="517"/>
      <c r="K172" s="514"/>
      <c r="L172" s="514"/>
      <c r="M172" s="514"/>
      <c r="N172" s="514"/>
      <c r="O172" s="514"/>
      <c r="P172" s="514"/>
      <c r="Q172" s="514"/>
    </row>
    <row r="173" spans="2:17" x14ac:dyDescent="0.25">
      <c r="B173" s="514"/>
      <c r="C173" s="514"/>
      <c r="D173" s="514"/>
      <c r="E173" s="514"/>
      <c r="F173" s="514"/>
      <c r="G173" s="514"/>
      <c r="I173" s="514"/>
      <c r="J173" s="517"/>
      <c r="K173" s="514"/>
      <c r="L173" s="514"/>
      <c r="M173" s="514"/>
      <c r="N173" s="514"/>
      <c r="O173" s="514"/>
      <c r="P173" s="514"/>
      <c r="Q173" s="514"/>
    </row>
    <row r="174" spans="2:17" x14ac:dyDescent="0.25">
      <c r="B174" s="514"/>
      <c r="C174" s="514"/>
      <c r="D174" s="514"/>
      <c r="E174" s="514"/>
      <c r="F174" s="514"/>
      <c r="G174" s="514"/>
      <c r="I174" s="514"/>
      <c r="J174" s="517"/>
      <c r="K174" s="514"/>
      <c r="L174" s="514"/>
      <c r="M174" s="514"/>
      <c r="N174" s="514"/>
      <c r="O174" s="514"/>
      <c r="P174" s="514"/>
      <c r="Q174" s="514"/>
    </row>
    <row r="175" spans="2:17" x14ac:dyDescent="0.25">
      <c r="B175" s="514"/>
      <c r="C175" s="514"/>
      <c r="D175" s="514"/>
      <c r="E175" s="514"/>
      <c r="F175" s="514"/>
      <c r="G175" s="514"/>
      <c r="I175" s="514"/>
      <c r="J175" s="517"/>
      <c r="K175" s="514"/>
      <c r="L175" s="514"/>
      <c r="M175" s="514"/>
      <c r="N175" s="514"/>
      <c r="O175" s="514"/>
      <c r="P175" s="514"/>
      <c r="Q175" s="514"/>
    </row>
    <row r="176" spans="2:17" x14ac:dyDescent="0.25">
      <c r="B176" s="514"/>
      <c r="C176" s="514"/>
      <c r="D176" s="514"/>
      <c r="E176" s="514"/>
      <c r="F176" s="514"/>
      <c r="G176" s="514"/>
      <c r="I176" s="514"/>
      <c r="J176" s="517"/>
      <c r="K176" s="514"/>
      <c r="L176" s="514"/>
      <c r="M176" s="514"/>
      <c r="N176" s="514"/>
      <c r="O176" s="514"/>
      <c r="P176" s="514"/>
      <c r="Q176" s="514"/>
    </row>
    <row r="177" spans="2:17" x14ac:dyDescent="0.25">
      <c r="B177" s="514"/>
      <c r="C177" s="514"/>
      <c r="D177" s="514"/>
      <c r="E177" s="514"/>
      <c r="F177" s="514"/>
      <c r="G177" s="514"/>
      <c r="I177" s="514"/>
      <c r="J177" s="517"/>
      <c r="K177" s="514"/>
      <c r="L177" s="514"/>
      <c r="M177" s="514"/>
      <c r="N177" s="514"/>
      <c r="O177" s="514"/>
      <c r="P177" s="514"/>
      <c r="Q177" s="514"/>
    </row>
    <row r="178" spans="2:17" x14ac:dyDescent="0.25">
      <c r="B178" s="514"/>
      <c r="C178" s="514"/>
      <c r="D178" s="514"/>
      <c r="E178" s="514"/>
      <c r="F178" s="514"/>
      <c r="G178" s="514"/>
      <c r="I178" s="514"/>
      <c r="J178" s="517"/>
      <c r="K178" s="514"/>
      <c r="L178" s="514"/>
      <c r="M178" s="514"/>
      <c r="N178" s="514"/>
      <c r="O178" s="514"/>
      <c r="P178" s="514"/>
      <c r="Q178" s="514"/>
    </row>
    <row r="179" spans="2:17" x14ac:dyDescent="0.25">
      <c r="B179" s="514"/>
      <c r="C179" s="514"/>
      <c r="D179" s="514"/>
      <c r="E179" s="514"/>
      <c r="F179" s="514"/>
      <c r="G179" s="514"/>
      <c r="I179" s="514"/>
      <c r="J179" s="517"/>
      <c r="K179" s="514"/>
      <c r="L179" s="514"/>
      <c r="M179" s="514"/>
      <c r="N179" s="514"/>
      <c r="O179" s="514"/>
      <c r="P179" s="514"/>
      <c r="Q179" s="514"/>
    </row>
    <row r="180" spans="2:17" x14ac:dyDescent="0.25">
      <c r="B180" s="514"/>
      <c r="C180" s="514"/>
      <c r="D180" s="514"/>
      <c r="E180" s="514"/>
      <c r="F180" s="514"/>
      <c r="G180" s="514"/>
      <c r="I180" s="514"/>
      <c r="J180" s="517"/>
      <c r="K180" s="514"/>
      <c r="L180" s="514"/>
      <c r="M180" s="514"/>
      <c r="N180" s="514"/>
      <c r="O180" s="514"/>
      <c r="P180" s="514"/>
      <c r="Q180" s="514"/>
    </row>
    <row r="181" spans="2:17" x14ac:dyDescent="0.25">
      <c r="B181" s="514"/>
      <c r="C181" s="514"/>
      <c r="D181" s="514"/>
      <c r="E181" s="514"/>
      <c r="F181" s="514"/>
      <c r="G181" s="514"/>
      <c r="I181" s="514"/>
      <c r="J181" s="517"/>
      <c r="K181" s="514"/>
      <c r="L181" s="514"/>
      <c r="M181" s="514"/>
      <c r="N181" s="514"/>
      <c r="O181" s="514"/>
      <c r="P181" s="514"/>
      <c r="Q181" s="514"/>
    </row>
    <row r="182" spans="2:17" x14ac:dyDescent="0.25">
      <c r="B182" s="514"/>
      <c r="C182" s="514"/>
      <c r="D182" s="514"/>
      <c r="E182" s="514"/>
      <c r="F182" s="514"/>
      <c r="G182" s="514"/>
      <c r="I182" s="514"/>
      <c r="J182" s="517"/>
      <c r="K182" s="514"/>
      <c r="L182" s="514"/>
      <c r="M182" s="514"/>
      <c r="N182" s="514"/>
      <c r="O182" s="514"/>
      <c r="P182" s="514"/>
      <c r="Q182" s="514"/>
    </row>
    <row r="183" spans="2:17" x14ac:dyDescent="0.25">
      <c r="B183" s="514"/>
      <c r="C183" s="514"/>
      <c r="D183" s="514"/>
      <c r="E183" s="514"/>
      <c r="F183" s="514"/>
      <c r="G183" s="514"/>
      <c r="I183" s="514"/>
      <c r="J183" s="517"/>
      <c r="K183" s="514"/>
      <c r="L183" s="514"/>
      <c r="M183" s="514"/>
      <c r="N183" s="514"/>
      <c r="O183" s="514"/>
      <c r="P183" s="514"/>
      <c r="Q183" s="514"/>
    </row>
    <row r="184" spans="2:17" x14ac:dyDescent="0.25">
      <c r="B184" s="514"/>
      <c r="C184" s="514"/>
      <c r="D184" s="514"/>
      <c r="E184" s="514"/>
      <c r="F184" s="514"/>
      <c r="G184" s="514"/>
      <c r="I184" s="514"/>
      <c r="J184" s="517"/>
      <c r="K184" s="514"/>
      <c r="L184" s="514"/>
      <c r="M184" s="514"/>
      <c r="N184" s="514"/>
      <c r="O184" s="514"/>
      <c r="P184" s="514"/>
      <c r="Q184" s="514"/>
    </row>
    <row r="185" spans="2:17" x14ac:dyDescent="0.25">
      <c r="B185" s="514"/>
      <c r="C185" s="514"/>
      <c r="D185" s="514"/>
      <c r="E185" s="514"/>
      <c r="F185" s="514"/>
      <c r="G185" s="514"/>
      <c r="I185" s="514"/>
      <c r="J185" s="517"/>
      <c r="K185" s="514"/>
      <c r="L185" s="514"/>
      <c r="M185" s="514"/>
      <c r="N185" s="514"/>
      <c r="O185" s="514"/>
      <c r="P185" s="514"/>
      <c r="Q185" s="514"/>
    </row>
    <row r="186" spans="2:17" x14ac:dyDescent="0.25">
      <c r="B186" s="514"/>
      <c r="C186" s="514"/>
      <c r="D186" s="514"/>
      <c r="E186" s="514"/>
      <c r="F186" s="514"/>
      <c r="G186" s="514"/>
      <c r="I186" s="514"/>
      <c r="J186" s="517"/>
      <c r="K186" s="514"/>
      <c r="L186" s="514"/>
      <c r="M186" s="514"/>
      <c r="N186" s="514"/>
      <c r="O186" s="514"/>
      <c r="P186" s="514"/>
      <c r="Q186" s="514"/>
    </row>
    <row r="187" spans="2:17" x14ac:dyDescent="0.25">
      <c r="B187" s="514"/>
      <c r="C187" s="514"/>
      <c r="D187" s="514"/>
      <c r="E187" s="514"/>
      <c r="F187" s="514"/>
      <c r="G187" s="514"/>
      <c r="I187" s="514"/>
      <c r="J187" s="517"/>
      <c r="K187" s="514"/>
      <c r="L187" s="514"/>
      <c r="M187" s="514"/>
      <c r="N187" s="514"/>
      <c r="O187" s="514"/>
      <c r="P187" s="514"/>
      <c r="Q187" s="514"/>
    </row>
    <row r="188" spans="2:17" x14ac:dyDescent="0.25">
      <c r="B188" s="514"/>
      <c r="C188" s="514"/>
      <c r="D188" s="514"/>
      <c r="E188" s="514"/>
      <c r="F188" s="514"/>
      <c r="G188" s="514"/>
      <c r="I188" s="514"/>
      <c r="J188" s="517"/>
      <c r="K188" s="514"/>
      <c r="L188" s="514"/>
      <c r="M188" s="514"/>
      <c r="N188" s="514"/>
      <c r="O188" s="514"/>
      <c r="P188" s="514"/>
      <c r="Q188" s="514"/>
    </row>
    <row r="189" spans="2:17" x14ac:dyDescent="0.25">
      <c r="B189" s="514"/>
      <c r="C189" s="514"/>
      <c r="D189" s="514"/>
      <c r="E189" s="514"/>
      <c r="F189" s="514"/>
      <c r="G189" s="514"/>
      <c r="I189" s="514"/>
      <c r="J189" s="517"/>
      <c r="K189" s="514"/>
      <c r="L189" s="514"/>
      <c r="M189" s="514"/>
      <c r="N189" s="514"/>
      <c r="O189" s="514"/>
      <c r="P189" s="514"/>
      <c r="Q189" s="514"/>
    </row>
    <row r="190" spans="2:17" x14ac:dyDescent="0.25">
      <c r="B190" s="514"/>
      <c r="C190" s="514"/>
      <c r="D190" s="514"/>
      <c r="E190" s="514"/>
      <c r="F190" s="514"/>
      <c r="G190" s="514"/>
      <c r="I190" s="514"/>
      <c r="J190" s="517"/>
      <c r="K190" s="514"/>
      <c r="L190" s="514"/>
      <c r="M190" s="514"/>
      <c r="N190" s="514"/>
      <c r="O190" s="514"/>
      <c r="P190" s="514"/>
      <c r="Q190" s="514"/>
    </row>
    <row r="191" spans="2:17" x14ac:dyDescent="0.25">
      <c r="B191" s="514"/>
      <c r="C191" s="514"/>
      <c r="D191" s="514"/>
      <c r="E191" s="514"/>
      <c r="F191" s="514"/>
      <c r="G191" s="514"/>
      <c r="I191" s="514"/>
      <c r="J191" s="517"/>
      <c r="K191" s="514"/>
      <c r="L191" s="514"/>
      <c r="M191" s="514"/>
      <c r="N191" s="514"/>
      <c r="O191" s="514"/>
      <c r="P191" s="514"/>
      <c r="Q191" s="514"/>
    </row>
    <row r="192" spans="2:17" x14ac:dyDescent="0.25">
      <c r="B192" s="514"/>
      <c r="C192" s="514"/>
      <c r="D192" s="514"/>
      <c r="E192" s="514"/>
      <c r="F192" s="514"/>
      <c r="G192" s="514"/>
      <c r="I192" s="514"/>
      <c r="J192" s="517"/>
      <c r="K192" s="514"/>
      <c r="L192" s="514"/>
      <c r="M192" s="514"/>
      <c r="N192" s="514"/>
      <c r="O192" s="514"/>
      <c r="P192" s="514"/>
      <c r="Q192" s="514"/>
    </row>
    <row r="193" spans="2:17" x14ac:dyDescent="0.25">
      <c r="B193" s="514"/>
      <c r="C193" s="514"/>
      <c r="D193" s="514"/>
      <c r="E193" s="514"/>
      <c r="F193" s="514"/>
      <c r="G193" s="514"/>
      <c r="I193" s="514"/>
      <c r="J193" s="517"/>
      <c r="K193" s="514"/>
      <c r="L193" s="514"/>
      <c r="M193" s="514"/>
      <c r="N193" s="514"/>
      <c r="O193" s="514"/>
      <c r="P193" s="514"/>
      <c r="Q193" s="514"/>
    </row>
    <row r="194" spans="2:17" x14ac:dyDescent="0.25">
      <c r="B194" s="514"/>
      <c r="C194" s="514"/>
      <c r="D194" s="514"/>
      <c r="E194" s="514"/>
      <c r="F194" s="514"/>
      <c r="G194" s="514"/>
      <c r="I194" s="514"/>
      <c r="J194" s="517"/>
      <c r="K194" s="514"/>
      <c r="L194" s="514"/>
      <c r="M194" s="514"/>
      <c r="N194" s="514"/>
      <c r="O194" s="514"/>
      <c r="P194" s="514"/>
      <c r="Q194" s="514"/>
    </row>
    <row r="195" spans="2:17" x14ac:dyDescent="0.25">
      <c r="B195" s="514"/>
      <c r="C195" s="514"/>
      <c r="D195" s="514"/>
      <c r="E195" s="514"/>
      <c r="F195" s="514"/>
      <c r="G195" s="514"/>
      <c r="I195" s="514"/>
      <c r="J195" s="517"/>
      <c r="K195" s="514"/>
      <c r="L195" s="514"/>
      <c r="M195" s="514"/>
      <c r="N195" s="514"/>
      <c r="O195" s="514"/>
      <c r="P195" s="514"/>
      <c r="Q195" s="514"/>
    </row>
    <row r="196" spans="2:17" x14ac:dyDescent="0.25">
      <c r="B196" s="514"/>
      <c r="C196" s="514"/>
      <c r="D196" s="514"/>
      <c r="E196" s="514"/>
      <c r="F196" s="514"/>
      <c r="G196" s="514"/>
      <c r="I196" s="514"/>
      <c r="J196" s="517"/>
      <c r="K196" s="514"/>
      <c r="L196" s="514"/>
      <c r="M196" s="514"/>
      <c r="N196" s="514"/>
      <c r="O196" s="514"/>
      <c r="P196" s="514"/>
      <c r="Q196" s="514"/>
    </row>
  </sheetData>
  <sheetProtection password="C534" sheet="1" objects="1" scenarios="1"/>
  <mergeCells count="40">
    <mergeCell ref="B101:B102"/>
    <mergeCell ref="B66:B79"/>
    <mergeCell ref="B60:B62"/>
    <mergeCell ref="B50:B54"/>
    <mergeCell ref="B94:B99"/>
    <mergeCell ref="E59:G59"/>
    <mergeCell ref="A91:G91"/>
    <mergeCell ref="E93:G93"/>
    <mergeCell ref="R3:S3"/>
    <mergeCell ref="R5:S5"/>
    <mergeCell ref="R13:S13"/>
    <mergeCell ref="L5:M5"/>
    <mergeCell ref="B81:B89"/>
    <mergeCell ref="L16:M16"/>
    <mergeCell ref="F71:G71"/>
    <mergeCell ref="E41:G41"/>
    <mergeCell ref="B37:D37"/>
    <mergeCell ref="F18:G18"/>
    <mergeCell ref="I91:J91"/>
    <mergeCell ref="E5:G5"/>
    <mergeCell ref="A3:G3"/>
    <mergeCell ref="I57:J57"/>
    <mergeCell ref="I39:J39"/>
    <mergeCell ref="F42:G51"/>
    <mergeCell ref="A57:G57"/>
    <mergeCell ref="A39:G39"/>
    <mergeCell ref="B45:B46"/>
    <mergeCell ref="B48:B49"/>
    <mergeCell ref="I3:J3"/>
    <mergeCell ref="I27:J27"/>
    <mergeCell ref="B10:B17"/>
    <mergeCell ref="B19:B25"/>
    <mergeCell ref="B6:B7"/>
    <mergeCell ref="A1:H1"/>
    <mergeCell ref="F19:G24"/>
    <mergeCell ref="A27:G27"/>
    <mergeCell ref="B30:B36"/>
    <mergeCell ref="F6:G6"/>
    <mergeCell ref="F7:G7"/>
    <mergeCell ref="D29:E29"/>
  </mergeCells>
  <phoneticPr fontId="2" type="noConversion"/>
  <conditionalFormatting sqref="E94:E96 E104 E78 E8 E62 E42:E49 E54:E55 E66:E74 E13:E17 E19">
    <cfRule type="cellIs" dxfId="25" priority="1" stopIfTrue="1" operator="notEqual">
      <formula>"maak uw keuze"</formula>
    </cfRule>
  </conditionalFormatting>
  <conditionalFormatting sqref="E77 E60:E61 E97:E99 E81 E83:E89 E79">
    <cfRule type="cellIs" dxfId="24" priority="2" stopIfTrue="1" operator="equal">
      <formula>"In te vullen door de rampenambtenaar"</formula>
    </cfRule>
    <cfRule type="cellIs" dxfId="23" priority="3" stopIfTrue="1" operator="notEqual">
      <formula>"Maak uw keuze"</formula>
    </cfRule>
  </conditionalFormatting>
  <conditionalFormatting sqref="E101">
    <cfRule type="cellIs" dxfId="22" priority="4" stopIfTrue="1" operator="equal">
      <formula>"In te vullen door de rampenambtenaar"</formula>
    </cfRule>
    <cfRule type="cellIs" dxfId="21" priority="5" stopIfTrue="1" operator="equal">
      <formula>"neen"</formula>
    </cfRule>
    <cfRule type="cellIs" dxfId="20" priority="6" stopIfTrue="1" operator="notEqual">
      <formula>"Maak uw keuze"</formula>
    </cfRule>
  </conditionalFormatting>
  <conditionalFormatting sqref="E53 E9:E12 E18">
    <cfRule type="cellIs" dxfId="19" priority="7" stopIfTrue="1" operator="notEqual">
      <formula>""</formula>
    </cfRule>
  </conditionalFormatting>
  <conditionalFormatting sqref="E20:E24">
    <cfRule type="cellIs" dxfId="18" priority="8" stopIfTrue="1" operator="equal">
      <formula>"Niet van toepassing"</formula>
    </cfRule>
    <cfRule type="cellIs" dxfId="17" priority="9" stopIfTrue="1" operator="notEqual">
      <formula>"maak uw keuze"</formula>
    </cfRule>
  </conditionalFormatting>
  <conditionalFormatting sqref="E25 E82">
    <cfRule type="cellIs" dxfId="16" priority="10" stopIfTrue="1" operator="notEqual">
      <formula>"Maak uw keuze"</formula>
    </cfRule>
  </conditionalFormatting>
  <conditionalFormatting sqref="E64">
    <cfRule type="cellIs" dxfId="15" priority="11" stopIfTrue="1" operator="equal">
      <formula>"In te vullen door de rampenambtenaar"</formula>
    </cfRule>
    <cfRule type="cellIs" dxfId="14" priority="12" stopIfTrue="1" operator="notEqual">
      <formula>"Maak uw keue"</formula>
    </cfRule>
  </conditionalFormatting>
  <conditionalFormatting sqref="E102">
    <cfRule type="cellIs" dxfId="13" priority="13" stopIfTrue="1" operator="equal">
      <formula>"In te vullen door FOD"</formula>
    </cfRule>
    <cfRule type="cellIs" dxfId="12" priority="14" stopIfTrue="1" operator="notEqual">
      <formula>"Maak uw keuze"</formula>
    </cfRule>
  </conditionalFormatting>
  <dataValidations count="38">
    <dataValidation type="list" allowBlank="1" showInputMessage="1" showErrorMessage="1" sqref="E104 E94:E95" xr:uid="{00000000-0002-0000-0400-000000000000}">
      <formula1>"Maak uw keuze,ja,neen,onbekend,niet van toepassing"</formula1>
    </dataValidation>
    <dataValidation type="list" allowBlank="1" showInputMessage="1" showErrorMessage="1" sqref="E101" xr:uid="{00000000-0002-0000-0400-000001000000}">
      <formula1>"Maak uw keuze,In te vullen door de rampenambtenaar,ja,neen,niet van toepassing,onbekend"</formula1>
    </dataValidation>
    <dataValidation type="list" allowBlank="1" showInputMessage="1" showErrorMessage="1" sqref="E77" xr:uid="{00000000-0002-0000-0400-000002000000}">
      <formula1>"Maak uw keuze,In te vullen door de rampenambtenaar,neen of niet gekend,ja"</formula1>
    </dataValidation>
    <dataValidation type="list" allowBlank="1" showInputMessage="1" showErrorMessage="1" sqref="E79" xr:uid="{00000000-0002-0000-0400-000003000000}">
      <formula1>"Maak uw keuze,In te vullen door de rampenambtenaar,ja,neen,onbekend"</formula1>
    </dataValidation>
    <dataValidation type="list" allowBlank="1" showInputMessage="1" showErrorMessage="1" sqref="E78" xr:uid="{00000000-0002-0000-0400-000004000000}">
      <formula1>"Maak uw keuze,eigen security en politie,Enkel politie,Eigen security,Geen security"</formula1>
    </dataValidation>
    <dataValidation type="list" allowBlank="1" showInputMessage="1" showErrorMessage="1" sqref="E96 E86" xr:uid="{00000000-0002-0000-0400-000005000000}">
      <formula1>"Maak uw keuze,ja,neen,niet van toepassing"</formula1>
    </dataValidation>
    <dataValidation type="list" allowBlank="1" showInputMessage="1" showErrorMessage="1" sqref="E97:E99" xr:uid="{00000000-0002-0000-0400-000006000000}">
      <formula1>"Maak uw keuze,In te vullen door de rampenambtenaar,ja,neen,onbekend,niet van toepassing"</formula1>
    </dataValidation>
    <dataValidation type="list" allowBlank="1" showInputMessage="1" showErrorMessage="1" sqref="E48:E49 E20:E24" xr:uid="{00000000-0002-0000-0400-000007000000}">
      <formula1>"Maak uw keuze,Neen,Ja"</formula1>
    </dataValidation>
    <dataValidation type="list" allowBlank="1" showInputMessage="1" showErrorMessage="1" sqref="E47" xr:uid="{00000000-0002-0000-0400-000008000000}">
      <formula1>voeding</formula1>
    </dataValidation>
    <dataValidation type="list" allowBlank="1" showInputMessage="1" showErrorMessage="1" sqref="E46" xr:uid="{00000000-0002-0000-0400-000009000000}">
      <formula1>Pathologie</formula1>
    </dataValidation>
    <dataValidation type="list" allowBlank="1" showInputMessage="1" showErrorMessage="1" sqref="E45" xr:uid="{00000000-0002-0000-0400-00000A000000}">
      <formula1>Publiek</formula1>
    </dataValidation>
    <dataValidation type="list" allowBlank="1" showInputMessage="1" showErrorMessage="1" sqref="E44" xr:uid="{00000000-0002-0000-0400-00000B000000}">
      <formula1>Drugs</formula1>
    </dataValidation>
    <dataValidation type="list" allowBlank="1" showInputMessage="1" showErrorMessage="1" sqref="E43" xr:uid="{00000000-0002-0000-0400-00000C000000}">
      <formula1>Alcohol</formula1>
    </dataValidation>
    <dataValidation type="list" allowBlank="1" showInputMessage="1" showErrorMessage="1" sqref="E42" xr:uid="{00000000-0002-0000-0400-00000D000000}">
      <formula1>Leeftijd</formula1>
    </dataValidation>
    <dataValidation type="list" allowBlank="1" showInputMessage="1" showErrorMessage="1" sqref="E54" xr:uid="{00000000-0002-0000-0400-00000E000000}">
      <formula1>"Maak uw keuze,Werkuren,(Ook) buiten de werkuren"</formula1>
    </dataValidation>
    <dataValidation type="list" allowBlank="1" showInputMessage="1" showErrorMessage="1" sqref="E55" xr:uid="{00000000-0002-0000-0400-00000F000000}">
      <formula1>Temperatuur</formula1>
    </dataValidation>
    <dataValidation type="list" allowBlank="1" showInputMessage="1" showErrorMessage="1" sqref="E15:E16" xr:uid="{00000000-0002-0000-0400-000010000000}">
      <formula1>"Maak uw keuze,neen,ja"</formula1>
    </dataValidation>
    <dataValidation type="list" allowBlank="1" showInputMessage="1" showErrorMessage="1" sqref="E13" xr:uid="{00000000-0002-0000-0400-000011000000}">
      <formula1>"Maak uw keuze,hard,zacht en vlak,zacht en golvend"</formula1>
    </dataValidation>
    <dataValidation type="list" allowBlank="1" showInputMessage="1" showErrorMessage="1" sqref="E14" xr:uid="{00000000-0002-0000-0400-000012000000}">
      <formula1>"Maak uw keuze,Vaste structuur,Tijdelijke structuur,Oneigenlijk gebruik van structuur"</formula1>
    </dataValidation>
    <dataValidation type="list" allowBlank="1" showInputMessage="1" showErrorMessage="1" sqref="E17" xr:uid="{00000000-0002-0000-0400-000013000000}">
      <formula1>"Maak uw keuze,buiten,binnen"</formula1>
    </dataValidation>
    <dataValidation type="list" allowBlank="1" showInputMessage="1" showErrorMessage="1" sqref="E25" xr:uid="{00000000-0002-0000-0400-000014000000}">
      <formula1>"Maak uw keuze,1 gemeente,&gt; dan 1 gemeente"</formula1>
    </dataValidation>
    <dataValidation type="list" allowBlank="1" showInputMessage="1" showErrorMessage="1" sqref="E61" xr:uid="{00000000-0002-0000-0400-000015000000}">
      <formula1>"Maak uw keuze,In te vullen door de rampenambtenaar,10 maal of meer,4 tot 9 maal,3 maal of minder,onbekend"</formula1>
    </dataValidation>
    <dataValidation type="list" allowBlank="1" showInputMessage="1" showErrorMessage="1" sqref="E62" xr:uid="{00000000-0002-0000-0400-000016000000}">
      <formula1>"Maak uw keuze,ja, neen,onbekend"</formula1>
    </dataValidation>
    <dataValidation type="list" allowBlank="1" showInputMessage="1" showErrorMessage="1" sqref="E64" xr:uid="{00000000-0002-0000-0400-000017000000}">
      <formula1>"Maak uw keuze,In te vullen door de rampenambtenaar,ja (enkel wanneer dit meegedeeld werd),neen,onbekend"</formula1>
    </dataValidation>
    <dataValidation type="list" allowBlank="1" showInputMessage="1" showErrorMessage="1" sqref="G66 E66" xr:uid="{00000000-0002-0000-0400-000018000000}">
      <formula1>Nutsvoorziening</formula1>
    </dataValidation>
    <dataValidation type="list" allowBlank="1" showInputMessage="1" showErrorMessage="1" sqref="E67:F67" xr:uid="{00000000-0002-0000-0400-000019000000}">
      <formula1>Communicatie</formula1>
    </dataValidation>
    <dataValidation type="list" allowBlank="1" showInputMessage="1" showErrorMessage="1" sqref="E8" xr:uid="{00000000-0002-0000-0400-00001A000000}">
      <formula1>Bereikbaarheid</formula1>
    </dataValidation>
    <dataValidation type="list" allowBlank="1" showInputMessage="1" showErrorMessage="1" sqref="E60" xr:uid="{00000000-0002-0000-0400-00001B000000}">
      <formula1>"Maak uw keuze,In te vullen door de rampenambtenaar,OK, niet OK en/of onbekend"</formula1>
    </dataValidation>
    <dataValidation type="list" allowBlank="1" showInputMessage="1" showErrorMessage="1" sqref="E68:E74" xr:uid="{00000000-0002-0000-0400-00001C000000}">
      <formula1>"Maak uw keuze,Ja,neen"</formula1>
    </dataValidation>
    <dataValidation type="list" allowBlank="1" showInputMessage="1" showErrorMessage="1" sqref="E83" xr:uid="{00000000-0002-0000-0400-00001D000000}">
      <formula1>Nuts</formula1>
    </dataValidation>
    <dataValidation type="list" allowBlank="1" showInputMessage="1" showErrorMessage="1" sqref="E81 E84:E85 E87:E89" xr:uid="{00000000-0002-0000-0400-00001E000000}">
      <formula1>"Maak uw keuze,ja,neen"</formula1>
    </dataValidation>
    <dataValidation type="list" allowBlank="1" showInputMessage="1" showErrorMessage="1" sqref="E82" xr:uid="{00000000-0002-0000-0400-00001F000000}">
      <formula1>"Maak uw keuze,geen,1,meer dan 1"</formula1>
    </dataValidation>
    <dataValidation type="decimal" allowBlank="1" showInputMessage="1" showErrorMessage="1" error="U heeft waarschijnlijk tekst ingevuld. In dit veld kunnen alleen cijfers worden ingegeven." prompt="In dit veld kunnen alleen cijfers ingegeven worden._x000a_" sqref="E10" xr:uid="{00000000-0002-0000-0400-000020000000}">
      <formula1>0</formula1>
      <formula2>1000</formula2>
    </dataValidation>
    <dataValidation type="decimal" allowBlank="1" showInputMessage="1" showErrorMessage="1" error="U heeft hier waarschijnlijk tekst ingegeven. In dit veld kan u alleen cijfers ingeven." prompt="In dit veld kunnen alleen cijfers ingegeven worden." sqref="E11" xr:uid="{00000000-0002-0000-0400-000021000000}">
      <formula1>IF(E10=0,"",IF(E10&lt;&gt;"","niet van toepassing",""))</formula1>
      <formula2>1000</formula2>
    </dataValidation>
    <dataValidation type="whole" allowBlank="1" showInputMessage="1" showErrorMessage="1" error="U heeft waarschijnlijk tekst ingevuld. In dit veld kunnen alleen cijfers worden ingegeven." prompt="In dit veld kunnen alleen cijfers ingegeven worden._x000a_" sqref="E9" xr:uid="{00000000-0002-0000-0400-000022000000}">
      <formula1>0</formula1>
      <formula2>10</formula2>
    </dataValidation>
    <dataValidation type="whole" allowBlank="1" showInputMessage="1" showErrorMessage="1" error="U heeft waarschijnlijk tekst ingevuld. In dit veld kunnen alleen cijfers worden ingegeven." prompt="In dit veld kunnen alleen cijfers ingegeven worden._x000a_" sqref="E12" xr:uid="{00000000-0002-0000-0400-000023000000}">
      <formula1>0</formula1>
      <formula2>100</formula2>
    </dataValidation>
    <dataValidation type="whole" allowBlank="1" showInputMessage="1" showErrorMessage="1" error="U heeft waarschijnlijk tekst ingevuld. In dit veld kunnen alleen cijfers worden ingegeven." prompt="In dit veld kunnen alleen cijfers ingegeven worden._x000a_" sqref="E18" xr:uid="{00000000-0002-0000-0400-000024000000}">
      <formula1>0</formula1>
      <formula2>1000</formula2>
    </dataValidation>
    <dataValidation type="list" allowBlank="1" showInputMessage="1" showErrorMessage="1" sqref="E102" xr:uid="{00000000-0002-0000-0400-000025000000}">
      <formula1>"Maak uw keuze,In te vullen door FOD,ja,neen,niet van toepassing,onbekend"</formula1>
    </dataValidation>
  </dataValidations>
  <hyperlinks>
    <hyperlink ref="F18:G18" location="'Adressen Spoedgevallendiensten'!SPOED" display="Adressen spoed" xr:uid="{00000000-0004-0000-0400-000000000000}"/>
  </hyperlinks>
  <pageMargins left="0.25" right="0.14000000000000001" top="1" bottom="1" header="0.5" footer="0.5"/>
  <pageSetup paperSize="9" orientation="landscape" horizontalDpi="4294967293" r:id="rId1"/>
  <headerFooter alignWithMargins="0"/>
  <cellWatches>
    <cellWatch r="E67"/>
  </cellWatches>
  <drawing r:id="rId2"/>
  <legacyDrawing r:id="rId3"/>
  <controls>
    <mc:AlternateContent xmlns:mc="http://schemas.openxmlformats.org/markup-compatibility/2006">
      <mc:Choice Requires="x14">
        <control shapeId="14549" r:id="rId4" name="CommandButton2">
          <controlPr defaultSize="0" autoLine="0" r:id="rId5">
            <anchor moveWithCells="1">
              <from>
                <xdr:col>1</xdr:col>
                <xdr:colOff>279400</xdr:colOff>
                <xdr:row>112</xdr:row>
                <xdr:rowOff>88900</xdr:rowOff>
              </from>
              <to>
                <xdr:col>6</xdr:col>
                <xdr:colOff>273050</xdr:colOff>
                <xdr:row>117</xdr:row>
                <xdr:rowOff>44450</xdr:rowOff>
              </to>
            </anchor>
          </controlPr>
        </control>
      </mc:Choice>
      <mc:Fallback>
        <control shapeId="14549" r:id="rId4" name="CommandButton2"/>
      </mc:Fallback>
    </mc:AlternateContent>
    <mc:AlternateContent xmlns:mc="http://schemas.openxmlformats.org/markup-compatibility/2006">
      <mc:Choice Requires="x14">
        <control shapeId="14473" r:id="rId6" name="CommandButton1">
          <controlPr defaultSize="0" autoLine="0" r:id="rId7">
            <anchor moveWithCells="1">
              <from>
                <xdr:col>1</xdr:col>
                <xdr:colOff>241300</xdr:colOff>
                <xdr:row>106</xdr:row>
                <xdr:rowOff>50800</xdr:rowOff>
              </from>
              <to>
                <xdr:col>6</xdr:col>
                <xdr:colOff>222250</xdr:colOff>
                <xdr:row>110</xdr:row>
                <xdr:rowOff>139700</xdr:rowOff>
              </to>
            </anchor>
          </controlPr>
        </control>
      </mc:Choice>
      <mc:Fallback>
        <control shapeId="14473" r:id="rId6" name="CommandButton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22">
    <tabColor indexed="10"/>
  </sheetPr>
  <dimension ref="A1:E248"/>
  <sheetViews>
    <sheetView zoomScale="75" zoomScaleNormal="75" workbookViewId="0">
      <selection activeCell="A2" sqref="A2:E2"/>
    </sheetView>
  </sheetViews>
  <sheetFormatPr defaultColWidth="9.1796875" defaultRowHeight="10.5" x14ac:dyDescent="0.25"/>
  <cols>
    <col min="1" max="1" width="14.453125" style="714" customWidth="1"/>
    <col min="2" max="2" width="29.81640625" style="710" bestFit="1" customWidth="1"/>
    <col min="3" max="3" width="60.26953125" style="710" bestFit="1" customWidth="1"/>
    <col min="4" max="4" width="42.81640625" style="713" bestFit="1" customWidth="1"/>
    <col min="5" max="5" width="25" style="710" bestFit="1" customWidth="1"/>
    <col min="6" max="16384" width="9.1796875" style="710"/>
  </cols>
  <sheetData>
    <row r="1" spans="1:5" ht="25.5" thickBot="1" x14ac:dyDescent="0.25">
      <c r="A1" s="1484" t="s">
        <v>829</v>
      </c>
      <c r="B1" s="1485"/>
      <c r="C1" s="1485"/>
      <c r="D1" s="1485"/>
      <c r="E1" s="1486"/>
    </row>
    <row r="2" spans="1:5" ht="18" x14ac:dyDescent="0.2">
      <c r="A2" s="1482" t="s">
        <v>1987</v>
      </c>
      <c r="B2" s="1483"/>
      <c r="C2" s="1483"/>
      <c r="D2" s="1483"/>
      <c r="E2" s="1483"/>
    </row>
    <row r="3" spans="1:5" s="711" customFormat="1" ht="28" x14ac:dyDescent="0.35">
      <c r="A3" s="942" t="s">
        <v>1419</v>
      </c>
      <c r="B3" s="883" t="s">
        <v>1989</v>
      </c>
      <c r="C3" s="884" t="s">
        <v>1990</v>
      </c>
      <c r="D3" s="882" t="s">
        <v>652</v>
      </c>
      <c r="E3" s="884" t="s">
        <v>828</v>
      </c>
    </row>
    <row r="4" spans="1:5" ht="15.5" x14ac:dyDescent="0.35">
      <c r="A4" s="956">
        <v>2018</v>
      </c>
      <c r="B4" s="885" t="s">
        <v>1991</v>
      </c>
      <c r="C4" s="885" t="s">
        <v>666</v>
      </c>
      <c r="D4" s="885" t="s">
        <v>667</v>
      </c>
      <c r="E4" s="885" t="s">
        <v>1991</v>
      </c>
    </row>
    <row r="5" spans="1:5" ht="15.5" x14ac:dyDescent="0.35">
      <c r="A5" s="956">
        <v>2020</v>
      </c>
      <c r="B5" s="885" t="s">
        <v>1991</v>
      </c>
      <c r="C5" s="885" t="s">
        <v>661</v>
      </c>
      <c r="D5" s="885" t="s">
        <v>662</v>
      </c>
      <c r="E5" s="885" t="s">
        <v>1991</v>
      </c>
    </row>
    <row r="6" spans="1:5" ht="15.5" x14ac:dyDescent="0.35">
      <c r="A6" s="956">
        <v>2030</v>
      </c>
      <c r="B6" s="885" t="s">
        <v>1991</v>
      </c>
      <c r="C6" s="885" t="s">
        <v>1079</v>
      </c>
      <c r="D6" s="885" t="s">
        <v>1080</v>
      </c>
      <c r="E6" s="885" t="s">
        <v>1991</v>
      </c>
    </row>
    <row r="7" spans="1:5" ht="15.5" x14ac:dyDescent="0.35">
      <c r="A7" s="956">
        <v>2030</v>
      </c>
      <c r="B7" s="885" t="s">
        <v>1324</v>
      </c>
      <c r="C7" s="885" t="s">
        <v>1325</v>
      </c>
      <c r="D7" s="885" t="s">
        <v>1326</v>
      </c>
      <c r="E7" s="885" t="s">
        <v>1991</v>
      </c>
    </row>
    <row r="8" spans="1:5" ht="15.5" x14ac:dyDescent="0.35">
      <c r="A8" s="956">
        <v>2060</v>
      </c>
      <c r="B8" s="885" t="s">
        <v>1991</v>
      </c>
      <c r="C8" s="885" t="s">
        <v>1084</v>
      </c>
      <c r="D8" s="885" t="s">
        <v>1085</v>
      </c>
      <c r="E8" s="885" t="s">
        <v>1991</v>
      </c>
    </row>
    <row r="9" spans="1:5" ht="15.5" x14ac:dyDescent="0.35">
      <c r="A9" s="956">
        <v>2100</v>
      </c>
      <c r="B9" s="885" t="s">
        <v>964</v>
      </c>
      <c r="C9" s="885" t="s">
        <v>965</v>
      </c>
      <c r="D9" s="885" t="s">
        <v>654</v>
      </c>
      <c r="E9" s="885" t="s">
        <v>1991</v>
      </c>
    </row>
    <row r="10" spans="1:5" ht="15.5" x14ac:dyDescent="0.35">
      <c r="A10" s="956">
        <v>2110</v>
      </c>
      <c r="B10" s="885" t="s">
        <v>2036</v>
      </c>
      <c r="C10" s="885" t="s">
        <v>962</v>
      </c>
      <c r="D10" s="885" t="s">
        <v>963</v>
      </c>
      <c r="E10" s="885" t="s">
        <v>1991</v>
      </c>
    </row>
    <row r="11" spans="1:5" ht="15.5" x14ac:dyDescent="0.35">
      <c r="A11" s="956">
        <v>2170</v>
      </c>
      <c r="B11" s="885" t="s">
        <v>1081</v>
      </c>
      <c r="C11" s="885" t="s">
        <v>1082</v>
      </c>
      <c r="D11" s="885" t="s">
        <v>1083</v>
      </c>
      <c r="E11" s="885" t="s">
        <v>1991</v>
      </c>
    </row>
    <row r="12" spans="1:5" ht="15.5" x14ac:dyDescent="0.35">
      <c r="A12" s="956">
        <v>2200</v>
      </c>
      <c r="B12" s="885" t="s">
        <v>2019</v>
      </c>
      <c r="C12" s="885" t="s">
        <v>670</v>
      </c>
      <c r="D12" s="885" t="s">
        <v>671</v>
      </c>
      <c r="E12" s="885" t="s">
        <v>1991</v>
      </c>
    </row>
    <row r="13" spans="1:5" ht="15.5" x14ac:dyDescent="0.35">
      <c r="A13" s="956">
        <v>2220</v>
      </c>
      <c r="B13" s="885" t="s">
        <v>1076</v>
      </c>
      <c r="C13" s="885" t="s">
        <v>1077</v>
      </c>
      <c r="D13" s="885" t="s">
        <v>1078</v>
      </c>
      <c r="E13" s="885" t="s">
        <v>1991</v>
      </c>
    </row>
    <row r="14" spans="1:5" ht="15.5" x14ac:dyDescent="0.35">
      <c r="A14" s="956">
        <v>2235</v>
      </c>
      <c r="B14" s="885" t="s">
        <v>672</v>
      </c>
      <c r="C14" s="885" t="s">
        <v>673</v>
      </c>
      <c r="D14" s="885" t="s">
        <v>674</v>
      </c>
      <c r="E14" s="885" t="s">
        <v>1991</v>
      </c>
    </row>
    <row r="15" spans="1:5" ht="15.5" x14ac:dyDescent="0.35">
      <c r="A15" s="956">
        <v>2260</v>
      </c>
      <c r="B15" s="885" t="s">
        <v>2035</v>
      </c>
      <c r="C15" s="885" t="s">
        <v>1086</v>
      </c>
      <c r="D15" s="885" t="s">
        <v>1087</v>
      </c>
      <c r="E15" s="885" t="s">
        <v>1991</v>
      </c>
    </row>
    <row r="16" spans="1:5" ht="15.5" x14ac:dyDescent="0.35">
      <c r="A16" s="956">
        <v>2300</v>
      </c>
      <c r="B16" s="885" t="s">
        <v>2212</v>
      </c>
      <c r="C16" s="885" t="s">
        <v>950</v>
      </c>
      <c r="D16" s="885" t="s">
        <v>951</v>
      </c>
      <c r="E16" s="885" t="s">
        <v>1991</v>
      </c>
    </row>
    <row r="17" spans="1:5" ht="15.5" x14ac:dyDescent="0.35">
      <c r="A17" s="956">
        <v>2300</v>
      </c>
      <c r="B17" s="885" t="s">
        <v>2212</v>
      </c>
      <c r="C17" s="885" t="s">
        <v>676</v>
      </c>
      <c r="D17" s="885" t="s">
        <v>677</v>
      </c>
      <c r="E17" s="885" t="s">
        <v>1991</v>
      </c>
    </row>
    <row r="18" spans="1:5" ht="15.5" x14ac:dyDescent="0.35">
      <c r="A18" s="956">
        <v>2320</v>
      </c>
      <c r="B18" s="885" t="s">
        <v>2033</v>
      </c>
      <c r="C18" s="885" t="s">
        <v>1322</v>
      </c>
      <c r="D18" s="885" t="s">
        <v>1323</v>
      </c>
      <c r="E18" s="885" t="s">
        <v>1991</v>
      </c>
    </row>
    <row r="19" spans="1:5" ht="15.5" x14ac:dyDescent="0.35">
      <c r="A19" s="956">
        <v>2340</v>
      </c>
      <c r="B19" s="885" t="s">
        <v>2207</v>
      </c>
      <c r="C19" s="885" t="s">
        <v>960</v>
      </c>
      <c r="D19" s="885" t="s">
        <v>961</v>
      </c>
      <c r="E19" s="885" t="s">
        <v>1991</v>
      </c>
    </row>
    <row r="20" spans="1:5" ht="15.5" x14ac:dyDescent="0.35">
      <c r="A20" s="956">
        <v>2370</v>
      </c>
      <c r="B20" s="885" t="s">
        <v>301</v>
      </c>
      <c r="C20" s="885" t="s">
        <v>1088</v>
      </c>
      <c r="D20" s="885" t="s">
        <v>780</v>
      </c>
      <c r="E20" s="885" t="s">
        <v>1991</v>
      </c>
    </row>
    <row r="21" spans="1:5" ht="15.5" x14ac:dyDescent="0.35">
      <c r="A21" s="956">
        <v>2390</v>
      </c>
      <c r="B21" s="885" t="s">
        <v>306</v>
      </c>
      <c r="C21" s="885" t="s">
        <v>1074</v>
      </c>
      <c r="D21" s="885" t="s">
        <v>1075</v>
      </c>
      <c r="E21" s="885" t="s">
        <v>1991</v>
      </c>
    </row>
    <row r="22" spans="1:5" ht="15.5" x14ac:dyDescent="0.35">
      <c r="A22" s="956">
        <v>2390</v>
      </c>
      <c r="B22" s="885" t="s">
        <v>306</v>
      </c>
      <c r="C22" s="885" t="s">
        <v>958</v>
      </c>
      <c r="D22" s="885" t="s">
        <v>959</v>
      </c>
      <c r="E22" s="885" t="s">
        <v>1991</v>
      </c>
    </row>
    <row r="23" spans="1:5" ht="15.5" x14ac:dyDescent="0.35">
      <c r="A23" s="956">
        <v>2400</v>
      </c>
      <c r="B23" s="885" t="s">
        <v>2026</v>
      </c>
      <c r="C23" s="885" t="s">
        <v>1320</v>
      </c>
      <c r="D23" s="885" t="s">
        <v>1321</v>
      </c>
      <c r="E23" s="885" t="s">
        <v>1991</v>
      </c>
    </row>
    <row r="24" spans="1:5" ht="15.5" x14ac:dyDescent="0.35">
      <c r="A24" s="956">
        <v>2440</v>
      </c>
      <c r="B24" s="885" t="s">
        <v>2016</v>
      </c>
      <c r="C24" s="885" t="s">
        <v>1318</v>
      </c>
      <c r="D24" s="885" t="s">
        <v>1319</v>
      </c>
      <c r="E24" s="885" t="s">
        <v>1991</v>
      </c>
    </row>
    <row r="25" spans="1:5" ht="15.5" x14ac:dyDescent="0.35">
      <c r="A25" s="956">
        <v>2440</v>
      </c>
      <c r="B25" s="885" t="s">
        <v>2016</v>
      </c>
      <c r="C25" s="885" t="s">
        <v>678</v>
      </c>
      <c r="D25" s="885" t="s">
        <v>679</v>
      </c>
      <c r="E25" s="885" t="s">
        <v>1991</v>
      </c>
    </row>
    <row r="26" spans="1:5" ht="15.5" x14ac:dyDescent="0.35">
      <c r="A26" s="956">
        <v>2490</v>
      </c>
      <c r="B26" s="885" t="s">
        <v>305</v>
      </c>
      <c r="C26" s="885" t="s">
        <v>781</v>
      </c>
      <c r="D26" s="885" t="s">
        <v>782</v>
      </c>
      <c r="E26" s="885" t="s">
        <v>1991</v>
      </c>
    </row>
    <row r="27" spans="1:5" ht="15.5" x14ac:dyDescent="0.35">
      <c r="A27" s="956">
        <v>2500</v>
      </c>
      <c r="B27" s="885" t="s">
        <v>302</v>
      </c>
      <c r="C27" s="885" t="s">
        <v>1072</v>
      </c>
      <c r="D27" s="885" t="s">
        <v>1073</v>
      </c>
      <c r="E27" s="885" t="s">
        <v>1991</v>
      </c>
    </row>
    <row r="28" spans="1:5" ht="15.5" x14ac:dyDescent="0.35">
      <c r="A28" s="956">
        <v>2570</v>
      </c>
      <c r="B28" s="885" t="s">
        <v>2022</v>
      </c>
      <c r="C28" s="885" t="s">
        <v>1070</v>
      </c>
      <c r="D28" s="885" t="s">
        <v>1071</v>
      </c>
      <c r="E28" s="885" t="s">
        <v>1991</v>
      </c>
    </row>
    <row r="29" spans="1:5" ht="15.5" x14ac:dyDescent="0.35">
      <c r="A29" s="956">
        <v>2590</v>
      </c>
      <c r="B29" s="885" t="s">
        <v>2211</v>
      </c>
      <c r="C29" s="885" t="s">
        <v>668</v>
      </c>
      <c r="D29" s="885" t="s">
        <v>669</v>
      </c>
      <c r="E29" s="885" t="s">
        <v>1991</v>
      </c>
    </row>
    <row r="30" spans="1:5" ht="15.5" x14ac:dyDescent="0.35">
      <c r="A30" s="957">
        <v>2610</v>
      </c>
      <c r="B30" s="886" t="s">
        <v>2215</v>
      </c>
      <c r="C30" s="886" t="s">
        <v>2023</v>
      </c>
      <c r="D30" s="886" t="s">
        <v>675</v>
      </c>
      <c r="E30" s="885" t="s">
        <v>1991</v>
      </c>
    </row>
    <row r="31" spans="1:5" ht="15.5" x14ac:dyDescent="0.35">
      <c r="A31" s="956">
        <v>2650</v>
      </c>
      <c r="B31" s="885" t="s">
        <v>2010</v>
      </c>
      <c r="C31" s="885" t="s">
        <v>664</v>
      </c>
      <c r="D31" s="885" t="s">
        <v>665</v>
      </c>
      <c r="E31" s="885" t="s">
        <v>1991</v>
      </c>
    </row>
    <row r="32" spans="1:5" ht="15.5" x14ac:dyDescent="0.35">
      <c r="A32" s="956">
        <v>2800</v>
      </c>
      <c r="B32" s="885" t="s">
        <v>2208</v>
      </c>
      <c r="C32" s="885" t="s">
        <v>659</v>
      </c>
      <c r="D32" s="885" t="s">
        <v>660</v>
      </c>
      <c r="E32" s="885" t="s">
        <v>1991</v>
      </c>
    </row>
    <row r="33" spans="1:5" ht="15.5" x14ac:dyDescent="0.35">
      <c r="A33" s="956">
        <v>2820</v>
      </c>
      <c r="B33" s="885" t="s">
        <v>2004</v>
      </c>
      <c r="C33" s="885" t="s">
        <v>1068</v>
      </c>
      <c r="D33" s="885" t="s">
        <v>1069</v>
      </c>
      <c r="E33" s="885" t="s">
        <v>1991</v>
      </c>
    </row>
    <row r="34" spans="1:5" ht="15.5" x14ac:dyDescent="0.35">
      <c r="A34" s="956">
        <v>2830</v>
      </c>
      <c r="B34" s="885" t="s">
        <v>2037</v>
      </c>
      <c r="C34" s="885" t="s">
        <v>954</v>
      </c>
      <c r="D34" s="885" t="s">
        <v>955</v>
      </c>
      <c r="E34" s="885" t="s">
        <v>1991</v>
      </c>
    </row>
    <row r="35" spans="1:5" ht="15.5" x14ac:dyDescent="0.35">
      <c r="A35" s="956">
        <v>2840</v>
      </c>
      <c r="B35" s="885" t="s">
        <v>2028</v>
      </c>
      <c r="C35" s="885" t="s">
        <v>657</v>
      </c>
      <c r="D35" s="885" t="s">
        <v>658</v>
      </c>
      <c r="E35" s="885" t="s">
        <v>1991</v>
      </c>
    </row>
    <row r="36" spans="1:5" ht="15.5" x14ac:dyDescent="0.35">
      <c r="A36" s="956">
        <v>2850</v>
      </c>
      <c r="B36" s="885" t="s">
        <v>2025</v>
      </c>
      <c r="C36" s="885" t="s">
        <v>1327</v>
      </c>
      <c r="D36" s="885" t="s">
        <v>1328</v>
      </c>
      <c r="E36" s="885" t="s">
        <v>1991</v>
      </c>
    </row>
    <row r="37" spans="1:5" ht="15.5" x14ac:dyDescent="0.35">
      <c r="A37" s="956">
        <v>2880</v>
      </c>
      <c r="B37" s="885" t="s">
        <v>2013</v>
      </c>
      <c r="C37" s="885" t="s">
        <v>956</v>
      </c>
      <c r="D37" s="885" t="s">
        <v>957</v>
      </c>
      <c r="E37" s="885" t="s">
        <v>1991</v>
      </c>
    </row>
    <row r="38" spans="1:5" ht="15.5" x14ac:dyDescent="0.35">
      <c r="A38" s="956">
        <v>2910</v>
      </c>
      <c r="B38" s="885" t="s">
        <v>2032</v>
      </c>
      <c r="C38" s="885" t="s">
        <v>948</v>
      </c>
      <c r="D38" s="885" t="s">
        <v>949</v>
      </c>
      <c r="E38" s="885" t="s">
        <v>1991</v>
      </c>
    </row>
    <row r="39" spans="1:5" ht="15.5" x14ac:dyDescent="0.35">
      <c r="A39" s="956">
        <v>2920</v>
      </c>
      <c r="B39" s="885" t="s">
        <v>2034</v>
      </c>
      <c r="C39" s="885" t="s">
        <v>952</v>
      </c>
      <c r="D39" s="885" t="s">
        <v>953</v>
      </c>
      <c r="E39" s="885" t="s">
        <v>1991</v>
      </c>
    </row>
    <row r="40" spans="1:5" ht="15.5" x14ac:dyDescent="0.35">
      <c r="A40" s="956">
        <v>2930</v>
      </c>
      <c r="B40" s="885" t="s">
        <v>2007</v>
      </c>
      <c r="C40" s="885" t="s">
        <v>2008</v>
      </c>
      <c r="D40" s="885" t="s">
        <v>663</v>
      </c>
      <c r="E40" s="885" t="s">
        <v>1991</v>
      </c>
    </row>
    <row r="41" spans="1:5" ht="15.5" x14ac:dyDescent="0.35">
      <c r="A41" s="956">
        <v>2990</v>
      </c>
      <c r="B41" s="885" t="s">
        <v>2038</v>
      </c>
      <c r="C41" s="885" t="s">
        <v>655</v>
      </c>
      <c r="D41" s="885" t="s">
        <v>656</v>
      </c>
      <c r="E41" s="885" t="s">
        <v>1991</v>
      </c>
    </row>
    <row r="42" spans="1:5" ht="15.5" x14ac:dyDescent="0.35">
      <c r="A42" s="958">
        <v>1301</v>
      </c>
      <c r="B42" s="888" t="s">
        <v>684</v>
      </c>
      <c r="C42" s="888" t="s">
        <v>685</v>
      </c>
      <c r="D42" s="888" t="s">
        <v>686</v>
      </c>
      <c r="E42" s="888" t="s">
        <v>683</v>
      </c>
    </row>
    <row r="43" spans="1:5" ht="15.5" x14ac:dyDescent="0.35">
      <c r="A43" s="958">
        <v>1340</v>
      </c>
      <c r="B43" s="888" t="s">
        <v>1017</v>
      </c>
      <c r="C43" s="888" t="s">
        <v>1018</v>
      </c>
      <c r="D43" s="888" t="s">
        <v>783</v>
      </c>
      <c r="E43" s="888" t="s">
        <v>683</v>
      </c>
    </row>
    <row r="44" spans="1:5" ht="15.5" x14ac:dyDescent="0.35">
      <c r="A44" s="958">
        <v>1370</v>
      </c>
      <c r="B44" s="888" t="s">
        <v>791</v>
      </c>
      <c r="C44" s="888" t="s">
        <v>792</v>
      </c>
      <c r="D44" s="888" t="s">
        <v>793</v>
      </c>
      <c r="E44" s="888" t="s">
        <v>683</v>
      </c>
    </row>
    <row r="45" spans="1:5" ht="15.5" x14ac:dyDescent="0.35">
      <c r="A45" s="958">
        <v>1400</v>
      </c>
      <c r="B45" s="888" t="s">
        <v>680</v>
      </c>
      <c r="C45" s="888" t="s">
        <v>681</v>
      </c>
      <c r="D45" s="888" t="s">
        <v>682</v>
      </c>
      <c r="E45" s="888" t="s">
        <v>683</v>
      </c>
    </row>
    <row r="46" spans="1:5" ht="15.5" x14ac:dyDescent="0.35">
      <c r="A46" s="958">
        <v>1420</v>
      </c>
      <c r="B46" s="888" t="s">
        <v>687</v>
      </c>
      <c r="C46" s="888" t="s">
        <v>688</v>
      </c>
      <c r="D46" s="888" t="s">
        <v>689</v>
      </c>
      <c r="E46" s="888" t="s">
        <v>683</v>
      </c>
    </row>
    <row r="47" spans="1:5" ht="15.5" x14ac:dyDescent="0.35">
      <c r="A47" s="958">
        <v>1480</v>
      </c>
      <c r="B47" s="888" t="s">
        <v>690</v>
      </c>
      <c r="C47" s="888" t="s">
        <v>691</v>
      </c>
      <c r="D47" s="888" t="s">
        <v>692</v>
      </c>
      <c r="E47" s="888" t="s">
        <v>683</v>
      </c>
    </row>
    <row r="48" spans="1:5" ht="15.5" x14ac:dyDescent="0.35">
      <c r="A48" s="958">
        <v>6041</v>
      </c>
      <c r="B48" s="888" t="s">
        <v>786</v>
      </c>
      <c r="C48" s="889" t="s">
        <v>787</v>
      </c>
      <c r="D48" s="888" t="s">
        <v>788</v>
      </c>
      <c r="E48" s="888" t="s">
        <v>683</v>
      </c>
    </row>
    <row r="49" spans="1:5" ht="15.5" x14ac:dyDescent="0.35">
      <c r="A49" s="958">
        <v>1000</v>
      </c>
      <c r="B49" s="888" t="s">
        <v>1014</v>
      </c>
      <c r="C49" s="888" t="s">
        <v>784</v>
      </c>
      <c r="D49" s="888" t="s">
        <v>785</v>
      </c>
      <c r="E49" s="888" t="s">
        <v>1014</v>
      </c>
    </row>
    <row r="50" spans="1:5" ht="15.5" x14ac:dyDescent="0.35">
      <c r="A50" s="958">
        <v>1120</v>
      </c>
      <c r="B50" s="888" t="s">
        <v>1014</v>
      </c>
      <c r="C50" s="888" t="s">
        <v>789</v>
      </c>
      <c r="D50" s="888" t="s">
        <v>790</v>
      </c>
      <c r="E50" s="888" t="s">
        <v>1014</v>
      </c>
    </row>
    <row r="51" spans="1:5" ht="15.5" x14ac:dyDescent="0.35">
      <c r="A51" s="958">
        <v>1180</v>
      </c>
      <c r="B51" s="888" t="s">
        <v>1014</v>
      </c>
      <c r="C51" s="888" t="s">
        <v>1015</v>
      </c>
      <c r="D51" s="888" t="s">
        <v>1016</v>
      </c>
      <c r="E51" s="888" t="s">
        <v>1014</v>
      </c>
    </row>
    <row r="52" spans="1:5" ht="15.5" x14ac:dyDescent="0.35">
      <c r="A52" s="956">
        <v>6000</v>
      </c>
      <c r="B52" s="885" t="s">
        <v>1294</v>
      </c>
      <c r="C52" s="885" t="s">
        <v>1295</v>
      </c>
      <c r="D52" s="885" t="s">
        <v>1296</v>
      </c>
      <c r="E52" s="885" t="s">
        <v>1008</v>
      </c>
    </row>
    <row r="53" spans="1:5" ht="15.5" x14ac:dyDescent="0.35">
      <c r="A53" s="956">
        <v>6031</v>
      </c>
      <c r="B53" s="885" t="s">
        <v>1285</v>
      </c>
      <c r="C53" s="885" t="s">
        <v>1286</v>
      </c>
      <c r="D53" s="885" t="s">
        <v>1287</v>
      </c>
      <c r="E53" s="885" t="s">
        <v>1008</v>
      </c>
    </row>
    <row r="54" spans="1:5" ht="15.5" x14ac:dyDescent="0.35">
      <c r="A54" s="956">
        <v>6040</v>
      </c>
      <c r="B54" s="885" t="s">
        <v>1297</v>
      </c>
      <c r="C54" s="885" t="s">
        <v>1298</v>
      </c>
      <c r="D54" s="885" t="s">
        <v>1299</v>
      </c>
      <c r="E54" s="885" t="s">
        <v>1008</v>
      </c>
    </row>
    <row r="55" spans="1:5" ht="15.5" x14ac:dyDescent="0.35">
      <c r="A55" s="956">
        <v>6060</v>
      </c>
      <c r="B55" s="885" t="s">
        <v>1009</v>
      </c>
      <c r="C55" s="885" t="s">
        <v>1010</v>
      </c>
      <c r="D55" s="885" t="s">
        <v>1011</v>
      </c>
      <c r="E55" s="885" t="s">
        <v>1008</v>
      </c>
    </row>
    <row r="56" spans="1:5" ht="15.5" x14ac:dyDescent="0.35">
      <c r="A56" s="956">
        <v>6060</v>
      </c>
      <c r="B56" s="885" t="s">
        <v>1009</v>
      </c>
      <c r="C56" s="887" t="s">
        <v>1012</v>
      </c>
      <c r="D56" s="885" t="s">
        <v>834</v>
      </c>
      <c r="E56" s="885" t="s">
        <v>1008</v>
      </c>
    </row>
    <row r="57" spans="1:5" ht="15.5" x14ac:dyDescent="0.35">
      <c r="A57" s="956">
        <v>6110</v>
      </c>
      <c r="B57" s="885" t="s">
        <v>549</v>
      </c>
      <c r="C57" s="885" t="s">
        <v>550</v>
      </c>
      <c r="D57" s="885" t="s">
        <v>551</v>
      </c>
      <c r="E57" s="885" t="s">
        <v>1008</v>
      </c>
    </row>
    <row r="58" spans="1:5" ht="15.5" x14ac:dyDescent="0.35">
      <c r="A58" s="956">
        <v>6460</v>
      </c>
      <c r="B58" s="885" t="s">
        <v>540</v>
      </c>
      <c r="C58" s="885" t="s">
        <v>541</v>
      </c>
      <c r="D58" s="885" t="s">
        <v>542</v>
      </c>
      <c r="E58" s="885" t="s">
        <v>1008</v>
      </c>
    </row>
    <row r="59" spans="1:5" ht="15.5" x14ac:dyDescent="0.35">
      <c r="A59" s="956">
        <v>6500</v>
      </c>
      <c r="B59" s="885" t="s">
        <v>1135</v>
      </c>
      <c r="C59" s="885" t="s">
        <v>1136</v>
      </c>
      <c r="D59" s="885" t="s">
        <v>1137</v>
      </c>
      <c r="E59" s="885" t="s">
        <v>1008</v>
      </c>
    </row>
    <row r="60" spans="1:5" ht="15.5" x14ac:dyDescent="0.35">
      <c r="A60" s="956">
        <v>6530</v>
      </c>
      <c r="B60" s="885" t="s">
        <v>1013</v>
      </c>
      <c r="C60" s="885" t="s">
        <v>1279</v>
      </c>
      <c r="D60" s="885" t="s">
        <v>1280</v>
      </c>
      <c r="E60" s="885" t="s">
        <v>1008</v>
      </c>
    </row>
    <row r="61" spans="1:5" ht="15.5" x14ac:dyDescent="0.35">
      <c r="A61" s="956">
        <v>7033</v>
      </c>
      <c r="B61" s="885" t="s">
        <v>1141</v>
      </c>
      <c r="C61" s="885" t="s">
        <v>1142</v>
      </c>
      <c r="D61" s="885" t="s">
        <v>1143</v>
      </c>
      <c r="E61" s="885" t="s">
        <v>1008</v>
      </c>
    </row>
    <row r="62" spans="1:5" ht="15.5" x14ac:dyDescent="0.35">
      <c r="A62" s="959">
        <v>7060</v>
      </c>
      <c r="B62" s="889" t="s">
        <v>1150</v>
      </c>
      <c r="C62" s="889" t="s">
        <v>1433</v>
      </c>
      <c r="D62" s="889" t="s">
        <v>1434</v>
      </c>
      <c r="E62" s="889" t="s">
        <v>1008</v>
      </c>
    </row>
    <row r="63" spans="1:5" ht="15.5" x14ac:dyDescent="0.35">
      <c r="A63" s="956">
        <v>7090</v>
      </c>
      <c r="B63" s="885" t="s">
        <v>1005</v>
      </c>
      <c r="C63" s="885" t="s">
        <v>1006</v>
      </c>
      <c r="D63" s="885" t="s">
        <v>1007</v>
      </c>
      <c r="E63" s="885" t="s">
        <v>1008</v>
      </c>
    </row>
    <row r="64" spans="1:5" ht="15.5" x14ac:dyDescent="0.35">
      <c r="A64" s="956">
        <v>7100</v>
      </c>
      <c r="B64" s="885" t="s">
        <v>1291</v>
      </c>
      <c r="C64" s="885" t="s">
        <v>1292</v>
      </c>
      <c r="D64" s="885" t="s">
        <v>1293</v>
      </c>
      <c r="E64" s="885" t="s">
        <v>1008</v>
      </c>
    </row>
    <row r="65" spans="1:5" ht="15.5" x14ac:dyDescent="0.35">
      <c r="A65" s="957">
        <v>7133</v>
      </c>
      <c r="B65" s="886" t="s">
        <v>1435</v>
      </c>
      <c r="C65" s="886" t="s">
        <v>1436</v>
      </c>
      <c r="D65" s="886" t="s">
        <v>1437</v>
      </c>
      <c r="E65" s="886" t="s">
        <v>1008</v>
      </c>
    </row>
    <row r="66" spans="1:5" ht="15.5" x14ac:dyDescent="0.35">
      <c r="A66" s="956">
        <v>7331</v>
      </c>
      <c r="B66" s="885" t="s">
        <v>1281</v>
      </c>
      <c r="C66" s="885" t="s">
        <v>1282</v>
      </c>
      <c r="D66" s="885" t="s">
        <v>1283</v>
      </c>
      <c r="E66" s="885" t="s">
        <v>1008</v>
      </c>
    </row>
    <row r="67" spans="1:5" ht="15.5" x14ac:dyDescent="0.35">
      <c r="A67" s="956">
        <v>7331</v>
      </c>
      <c r="B67" s="885" t="s">
        <v>1281</v>
      </c>
      <c r="C67" s="887" t="s">
        <v>1284</v>
      </c>
      <c r="D67" s="885" t="s">
        <v>1283</v>
      </c>
      <c r="E67" s="885" t="s">
        <v>1008</v>
      </c>
    </row>
    <row r="68" spans="1:5" ht="15.5" x14ac:dyDescent="0.35">
      <c r="A68" s="956">
        <v>7380</v>
      </c>
      <c r="B68" s="885" t="s">
        <v>543</v>
      </c>
      <c r="C68" s="885" t="s">
        <v>544</v>
      </c>
      <c r="D68" s="885" t="s">
        <v>545</v>
      </c>
      <c r="E68" s="885" t="s">
        <v>1008</v>
      </c>
    </row>
    <row r="69" spans="1:5" ht="15.5" x14ac:dyDescent="0.35">
      <c r="A69" s="956">
        <v>7500</v>
      </c>
      <c r="B69" s="885" t="s">
        <v>1590</v>
      </c>
      <c r="C69" s="885" t="s">
        <v>1591</v>
      </c>
      <c r="D69" s="887" t="s">
        <v>1592</v>
      </c>
      <c r="E69" s="885" t="s">
        <v>1008</v>
      </c>
    </row>
    <row r="70" spans="1:5" ht="15.5" x14ac:dyDescent="0.35">
      <c r="A70" s="956">
        <v>7600</v>
      </c>
      <c r="B70" s="885" t="s">
        <v>1138</v>
      </c>
      <c r="C70" s="885" t="s">
        <v>1139</v>
      </c>
      <c r="D70" s="885" t="s">
        <v>1140</v>
      </c>
      <c r="E70" s="885" t="s">
        <v>1008</v>
      </c>
    </row>
    <row r="71" spans="1:5" ht="15.5" x14ac:dyDescent="0.35">
      <c r="A71" s="956">
        <v>7700</v>
      </c>
      <c r="B71" s="885" t="s">
        <v>1144</v>
      </c>
      <c r="C71" s="885" t="s">
        <v>1145</v>
      </c>
      <c r="D71" s="885" t="s">
        <v>1146</v>
      </c>
      <c r="E71" s="885" t="s">
        <v>1008</v>
      </c>
    </row>
    <row r="72" spans="1:5" ht="15.5" x14ac:dyDescent="0.35">
      <c r="A72" s="956">
        <v>7780</v>
      </c>
      <c r="B72" s="885" t="s">
        <v>1300</v>
      </c>
      <c r="C72" s="885" t="s">
        <v>1317</v>
      </c>
      <c r="D72" s="885" t="s">
        <v>1589</v>
      </c>
      <c r="E72" s="885" t="s">
        <v>1008</v>
      </c>
    </row>
    <row r="73" spans="1:5" ht="15.5" x14ac:dyDescent="0.35">
      <c r="A73" s="956">
        <v>7800</v>
      </c>
      <c r="B73" s="885" t="s">
        <v>546</v>
      </c>
      <c r="C73" s="885" t="s">
        <v>547</v>
      </c>
      <c r="D73" s="885" t="s">
        <v>548</v>
      </c>
      <c r="E73" s="885" t="s">
        <v>1008</v>
      </c>
    </row>
    <row r="74" spans="1:5" ht="15.5" x14ac:dyDescent="0.35">
      <c r="A74" s="956">
        <v>7850</v>
      </c>
      <c r="B74" s="885" t="s">
        <v>1288</v>
      </c>
      <c r="C74" s="885" t="s">
        <v>1289</v>
      </c>
      <c r="D74" s="885" t="s">
        <v>1290</v>
      </c>
      <c r="E74" s="885" t="s">
        <v>1008</v>
      </c>
    </row>
    <row r="75" spans="1:5" ht="15.5" x14ac:dyDescent="0.35">
      <c r="A75" s="956">
        <v>7860</v>
      </c>
      <c r="B75" s="885" t="s">
        <v>552</v>
      </c>
      <c r="C75" s="885" t="s">
        <v>1133</v>
      </c>
      <c r="D75" s="885" t="s">
        <v>1134</v>
      </c>
      <c r="E75" s="885" t="s">
        <v>1008</v>
      </c>
    </row>
    <row r="76" spans="1:5" ht="15.5" x14ac:dyDescent="0.35">
      <c r="A76" s="956">
        <v>7900</v>
      </c>
      <c r="B76" s="885" t="s">
        <v>1147</v>
      </c>
      <c r="C76" s="885" t="s">
        <v>1148</v>
      </c>
      <c r="D76" s="885" t="s">
        <v>1149</v>
      </c>
      <c r="E76" s="885" t="s">
        <v>1008</v>
      </c>
    </row>
    <row r="77" spans="1:5" ht="15.5" x14ac:dyDescent="0.35">
      <c r="A77" s="956">
        <v>7970</v>
      </c>
      <c r="B77" s="885" t="s">
        <v>1593</v>
      </c>
      <c r="C77" s="885" t="s">
        <v>1594</v>
      </c>
      <c r="D77" s="885" t="s">
        <v>539</v>
      </c>
      <c r="E77" s="885" t="s">
        <v>1008</v>
      </c>
    </row>
    <row r="78" spans="1:5" ht="15.5" x14ac:dyDescent="0.35">
      <c r="A78" s="956">
        <v>4000</v>
      </c>
      <c r="B78" s="885" t="s">
        <v>1441</v>
      </c>
      <c r="C78" s="885" t="s">
        <v>2251</v>
      </c>
      <c r="D78" s="885" t="s">
        <v>2252</v>
      </c>
      <c r="E78" s="885" t="s">
        <v>1441</v>
      </c>
    </row>
    <row r="79" spans="1:5" ht="15.5" x14ac:dyDescent="0.35">
      <c r="A79" s="956">
        <v>4020</v>
      </c>
      <c r="B79" s="885" t="s">
        <v>1441</v>
      </c>
      <c r="C79" s="885" t="s">
        <v>635</v>
      </c>
      <c r="D79" s="885" t="s">
        <v>636</v>
      </c>
      <c r="E79" s="885" t="s">
        <v>1441</v>
      </c>
    </row>
    <row r="80" spans="1:5" ht="15.5" x14ac:dyDescent="0.35">
      <c r="A80" s="956">
        <v>4030</v>
      </c>
      <c r="B80" s="885" t="s">
        <v>2239</v>
      </c>
      <c r="C80" s="885" t="s">
        <v>2240</v>
      </c>
      <c r="D80" s="885" t="s">
        <v>2241</v>
      </c>
      <c r="E80" s="885" t="s">
        <v>1441</v>
      </c>
    </row>
    <row r="81" spans="1:5" ht="15.5" x14ac:dyDescent="0.35">
      <c r="A81" s="956">
        <v>4040</v>
      </c>
      <c r="B81" s="885" t="s">
        <v>1095</v>
      </c>
      <c r="C81" s="885" t="s">
        <v>1096</v>
      </c>
      <c r="D81" s="885" t="s">
        <v>1097</v>
      </c>
      <c r="E81" s="885" t="s">
        <v>1441</v>
      </c>
    </row>
    <row r="82" spans="1:5" ht="15.5" x14ac:dyDescent="0.35">
      <c r="A82" s="956">
        <v>4040</v>
      </c>
      <c r="B82" s="885" t="s">
        <v>1095</v>
      </c>
      <c r="C82" s="885" t="s">
        <v>1101</v>
      </c>
      <c r="D82" s="885" t="s">
        <v>1243</v>
      </c>
      <c r="E82" s="885" t="s">
        <v>1441</v>
      </c>
    </row>
    <row r="83" spans="1:5" ht="15.5" x14ac:dyDescent="0.35">
      <c r="A83" s="956">
        <v>4100</v>
      </c>
      <c r="B83" s="885" t="s">
        <v>2242</v>
      </c>
      <c r="C83" s="885" t="s">
        <v>2243</v>
      </c>
      <c r="D83" s="885" t="s">
        <v>2244</v>
      </c>
      <c r="E83" s="885" t="s">
        <v>1441</v>
      </c>
    </row>
    <row r="84" spans="1:5" ht="15.5" x14ac:dyDescent="0.35">
      <c r="A84" s="957">
        <v>4100</v>
      </c>
      <c r="B84" s="886" t="s">
        <v>2242</v>
      </c>
      <c r="C84" s="886" t="s">
        <v>1247</v>
      </c>
      <c r="D84" s="886" t="s">
        <v>2244</v>
      </c>
      <c r="E84" s="886" t="s">
        <v>1441</v>
      </c>
    </row>
    <row r="85" spans="1:5" ht="15.5" x14ac:dyDescent="0.35">
      <c r="A85" s="956">
        <v>4180</v>
      </c>
      <c r="B85" s="885" t="s">
        <v>2245</v>
      </c>
      <c r="C85" s="885" t="s">
        <v>2246</v>
      </c>
      <c r="D85" s="885" t="s">
        <v>2247</v>
      </c>
      <c r="E85" s="885" t="s">
        <v>1441</v>
      </c>
    </row>
    <row r="86" spans="1:5" ht="15.5" x14ac:dyDescent="0.35">
      <c r="A86" s="956">
        <v>4280</v>
      </c>
      <c r="B86" s="885" t="s">
        <v>2253</v>
      </c>
      <c r="C86" s="885" t="s">
        <v>2254</v>
      </c>
      <c r="D86" s="885" t="s">
        <v>2255</v>
      </c>
      <c r="E86" s="885" t="s">
        <v>1441</v>
      </c>
    </row>
    <row r="87" spans="1:5" ht="15.5" x14ac:dyDescent="0.35">
      <c r="A87" s="956">
        <v>4300</v>
      </c>
      <c r="B87" s="885" t="s">
        <v>1609</v>
      </c>
      <c r="C87" s="885" t="s">
        <v>1610</v>
      </c>
      <c r="D87" s="885" t="s">
        <v>1611</v>
      </c>
      <c r="E87" s="885" t="s">
        <v>1441</v>
      </c>
    </row>
    <row r="88" spans="1:5" ht="15.5" x14ac:dyDescent="0.35">
      <c r="A88" s="956">
        <v>4367</v>
      </c>
      <c r="B88" s="885" t="s">
        <v>632</v>
      </c>
      <c r="C88" s="885" t="s">
        <v>633</v>
      </c>
      <c r="D88" s="885" t="s">
        <v>634</v>
      </c>
      <c r="E88" s="885" t="s">
        <v>1441</v>
      </c>
    </row>
    <row r="89" spans="1:5" ht="15.5" x14ac:dyDescent="0.35">
      <c r="A89" s="956">
        <v>4500</v>
      </c>
      <c r="B89" s="885" t="s">
        <v>1098</v>
      </c>
      <c r="C89" s="885" t="s">
        <v>1099</v>
      </c>
      <c r="D89" s="885" t="s">
        <v>1100</v>
      </c>
      <c r="E89" s="885" t="s">
        <v>1441</v>
      </c>
    </row>
    <row r="90" spans="1:5" ht="15.5" x14ac:dyDescent="0.35">
      <c r="A90" s="956">
        <v>4630</v>
      </c>
      <c r="B90" s="885" t="s">
        <v>1442</v>
      </c>
      <c r="C90" s="885" t="s">
        <v>1443</v>
      </c>
      <c r="D90" s="885" t="s">
        <v>1444</v>
      </c>
      <c r="E90" s="885" t="s">
        <v>1441</v>
      </c>
    </row>
    <row r="91" spans="1:5" ht="15.5" x14ac:dyDescent="0.35">
      <c r="A91" s="956">
        <v>4650</v>
      </c>
      <c r="B91" s="885" t="s">
        <v>2262</v>
      </c>
      <c r="C91" s="885" t="s">
        <v>2263</v>
      </c>
      <c r="D91" s="885" t="s">
        <v>2264</v>
      </c>
      <c r="E91" s="885" t="s">
        <v>1441</v>
      </c>
    </row>
    <row r="92" spans="1:5" ht="15.5" x14ac:dyDescent="0.35">
      <c r="A92" s="956">
        <v>4671</v>
      </c>
      <c r="B92" s="885" t="s">
        <v>1244</v>
      </c>
      <c r="C92" s="885" t="s">
        <v>1245</v>
      </c>
      <c r="D92" s="885" t="s">
        <v>1246</v>
      </c>
      <c r="E92" s="885" t="s">
        <v>1441</v>
      </c>
    </row>
    <row r="93" spans="1:5" ht="15.5" x14ac:dyDescent="0.35">
      <c r="A93" s="956">
        <v>4700</v>
      </c>
      <c r="B93" s="885" t="s">
        <v>637</v>
      </c>
      <c r="C93" s="885" t="s">
        <v>638</v>
      </c>
      <c r="D93" s="885" t="s">
        <v>1608</v>
      </c>
      <c r="E93" s="885" t="s">
        <v>1441</v>
      </c>
    </row>
    <row r="94" spans="1:5" ht="15.5" x14ac:dyDescent="0.35">
      <c r="A94" s="956">
        <v>4728</v>
      </c>
      <c r="B94" s="885" t="s">
        <v>2236</v>
      </c>
      <c r="C94" s="885" t="s">
        <v>2237</v>
      </c>
      <c r="D94" s="885" t="s">
        <v>2238</v>
      </c>
      <c r="E94" s="885" t="s">
        <v>1441</v>
      </c>
    </row>
    <row r="95" spans="1:5" ht="15.5" x14ac:dyDescent="0.35">
      <c r="A95" s="956">
        <v>4760</v>
      </c>
      <c r="B95" s="885" t="s">
        <v>1438</v>
      </c>
      <c r="C95" s="885" t="s">
        <v>1439</v>
      </c>
      <c r="D95" s="885" t="s">
        <v>1440</v>
      </c>
      <c r="E95" s="885" t="s">
        <v>1441</v>
      </c>
    </row>
    <row r="96" spans="1:5" ht="15.5" x14ac:dyDescent="0.35">
      <c r="A96" s="956">
        <v>4780</v>
      </c>
      <c r="B96" s="885" t="s">
        <v>2259</v>
      </c>
      <c r="C96" s="885" t="s">
        <v>2260</v>
      </c>
      <c r="D96" s="885" t="s">
        <v>2261</v>
      </c>
      <c r="E96" s="885" t="s">
        <v>1441</v>
      </c>
    </row>
    <row r="97" spans="1:5" ht="15.5" x14ac:dyDescent="0.35">
      <c r="A97" s="956">
        <v>4800</v>
      </c>
      <c r="B97" s="885" t="s">
        <v>2248</v>
      </c>
      <c r="C97" s="885" t="s">
        <v>2249</v>
      </c>
      <c r="D97" s="885" t="s">
        <v>2250</v>
      </c>
      <c r="E97" s="885" t="s">
        <v>1441</v>
      </c>
    </row>
    <row r="98" spans="1:5" ht="15.5" x14ac:dyDescent="0.35">
      <c r="A98" s="956">
        <v>4840</v>
      </c>
      <c r="B98" s="885" t="s">
        <v>1092</v>
      </c>
      <c r="C98" s="885" t="s">
        <v>1093</v>
      </c>
      <c r="D98" s="885" t="s">
        <v>1094</v>
      </c>
      <c r="E98" s="885" t="s">
        <v>1441</v>
      </c>
    </row>
    <row r="99" spans="1:5" ht="15.5" x14ac:dyDescent="0.35">
      <c r="A99" s="956">
        <v>4880</v>
      </c>
      <c r="B99" s="885" t="s">
        <v>2256</v>
      </c>
      <c r="C99" s="885" t="s">
        <v>2257</v>
      </c>
      <c r="D99" s="885" t="s">
        <v>2258</v>
      </c>
      <c r="E99" s="885" t="s">
        <v>1441</v>
      </c>
    </row>
    <row r="100" spans="1:5" ht="15.5" x14ac:dyDescent="0.35">
      <c r="A100" s="956">
        <v>4920</v>
      </c>
      <c r="B100" s="885" t="s">
        <v>1445</v>
      </c>
      <c r="C100" s="885" t="s">
        <v>1446</v>
      </c>
      <c r="D100" s="885" t="s">
        <v>1447</v>
      </c>
      <c r="E100" s="885" t="s">
        <v>1441</v>
      </c>
    </row>
    <row r="101" spans="1:5" ht="15.5" x14ac:dyDescent="0.35">
      <c r="A101" s="956">
        <v>4960</v>
      </c>
      <c r="B101" s="885" t="s">
        <v>2265</v>
      </c>
      <c r="C101" s="885" t="s">
        <v>2266</v>
      </c>
      <c r="D101" s="885" t="s">
        <v>2267</v>
      </c>
      <c r="E101" s="885" t="s">
        <v>1441</v>
      </c>
    </row>
    <row r="102" spans="1:5" ht="15.5" x14ac:dyDescent="0.35">
      <c r="A102" s="956">
        <v>4970</v>
      </c>
      <c r="B102" s="885" t="s">
        <v>2268</v>
      </c>
      <c r="C102" s="885" t="s">
        <v>630</v>
      </c>
      <c r="D102" s="885" t="s">
        <v>631</v>
      </c>
      <c r="E102" s="885" t="s">
        <v>1441</v>
      </c>
    </row>
    <row r="103" spans="1:5" ht="15.5" x14ac:dyDescent="0.35">
      <c r="A103" s="956">
        <v>3500</v>
      </c>
      <c r="B103" s="885" t="s">
        <v>1252</v>
      </c>
      <c r="C103" s="885" t="s">
        <v>1253</v>
      </c>
      <c r="D103" s="885" t="s">
        <v>1254</v>
      </c>
      <c r="E103" s="885" t="s">
        <v>1251</v>
      </c>
    </row>
    <row r="104" spans="1:5" ht="15.5" x14ac:dyDescent="0.35">
      <c r="A104" s="956">
        <v>3500</v>
      </c>
      <c r="B104" s="885" t="s">
        <v>1252</v>
      </c>
      <c r="C104" s="885" t="s">
        <v>1265</v>
      </c>
      <c r="D104" s="885" t="s">
        <v>1266</v>
      </c>
      <c r="E104" s="885" t="s">
        <v>1251</v>
      </c>
    </row>
    <row r="105" spans="1:5" ht="15.5" x14ac:dyDescent="0.35">
      <c r="A105" s="956">
        <v>3550</v>
      </c>
      <c r="B105" s="885" t="s">
        <v>922</v>
      </c>
      <c r="C105" s="885" t="s">
        <v>923</v>
      </c>
      <c r="D105" s="885" t="s">
        <v>924</v>
      </c>
      <c r="E105" s="885" t="s">
        <v>1251</v>
      </c>
    </row>
    <row r="106" spans="1:5" ht="15.5" x14ac:dyDescent="0.35">
      <c r="A106" s="956">
        <v>3600</v>
      </c>
      <c r="B106" s="885" t="s">
        <v>1261</v>
      </c>
      <c r="C106" s="885" t="s">
        <v>1262</v>
      </c>
      <c r="D106" s="885" t="s">
        <v>1263</v>
      </c>
      <c r="E106" s="885" t="s">
        <v>1251</v>
      </c>
    </row>
    <row r="107" spans="1:5" ht="15.5" x14ac:dyDescent="0.35">
      <c r="A107" s="956">
        <v>3600</v>
      </c>
      <c r="B107" s="885" t="s">
        <v>1261</v>
      </c>
      <c r="C107" s="885" t="s">
        <v>833</v>
      </c>
      <c r="D107" s="885" t="s">
        <v>1264</v>
      </c>
      <c r="E107" s="885" t="s">
        <v>1251</v>
      </c>
    </row>
    <row r="108" spans="1:5" ht="15.5" x14ac:dyDescent="0.35">
      <c r="A108" s="956">
        <v>3620</v>
      </c>
      <c r="B108" s="885" t="s">
        <v>2300</v>
      </c>
      <c r="C108" s="885" t="s">
        <v>2301</v>
      </c>
      <c r="D108" s="885" t="s">
        <v>2302</v>
      </c>
      <c r="E108" s="885" t="s">
        <v>1251</v>
      </c>
    </row>
    <row r="109" spans="1:5" ht="15.5" x14ac:dyDescent="0.35">
      <c r="A109" s="956">
        <v>3630</v>
      </c>
      <c r="B109" s="885" t="s">
        <v>2303</v>
      </c>
      <c r="C109" s="885" t="s">
        <v>2304</v>
      </c>
      <c r="D109" s="885" t="s">
        <v>2305</v>
      </c>
      <c r="E109" s="885" t="s">
        <v>1251</v>
      </c>
    </row>
    <row r="110" spans="1:5" ht="15.5" x14ac:dyDescent="0.35">
      <c r="A110" s="956">
        <v>3680</v>
      </c>
      <c r="B110" s="885" t="s">
        <v>925</v>
      </c>
      <c r="C110" s="885" t="s">
        <v>926</v>
      </c>
      <c r="D110" s="885" t="s">
        <v>927</v>
      </c>
      <c r="E110" s="885" t="s">
        <v>1251</v>
      </c>
    </row>
    <row r="111" spans="1:5" ht="15.5" x14ac:dyDescent="0.35">
      <c r="A111" s="956">
        <v>3700</v>
      </c>
      <c r="B111" s="885" t="s">
        <v>931</v>
      </c>
      <c r="C111" s="885" t="s">
        <v>932</v>
      </c>
      <c r="D111" s="885" t="s">
        <v>933</v>
      </c>
      <c r="E111" s="885" t="s">
        <v>1251</v>
      </c>
    </row>
    <row r="112" spans="1:5" ht="15.5" x14ac:dyDescent="0.35">
      <c r="A112" s="956">
        <v>3740</v>
      </c>
      <c r="B112" s="885" t="s">
        <v>1258</v>
      </c>
      <c r="C112" s="885" t="s">
        <v>1259</v>
      </c>
      <c r="D112" s="885" t="s">
        <v>1260</v>
      </c>
      <c r="E112" s="885" t="s">
        <v>1251</v>
      </c>
    </row>
    <row r="113" spans="1:5" ht="15.5" x14ac:dyDescent="0.35">
      <c r="A113" s="956">
        <v>3800</v>
      </c>
      <c r="B113" s="885" t="s">
        <v>1248</v>
      </c>
      <c r="C113" s="885" t="s">
        <v>1249</v>
      </c>
      <c r="D113" s="885" t="s">
        <v>1250</v>
      </c>
      <c r="E113" s="885" t="s">
        <v>1251</v>
      </c>
    </row>
    <row r="114" spans="1:5" ht="15.5" x14ac:dyDescent="0.35">
      <c r="A114" s="956">
        <v>3920</v>
      </c>
      <c r="B114" s="885" t="s">
        <v>928</v>
      </c>
      <c r="C114" s="885" t="s">
        <v>929</v>
      </c>
      <c r="D114" s="885" t="s">
        <v>930</v>
      </c>
      <c r="E114" s="885" t="s">
        <v>1251</v>
      </c>
    </row>
    <row r="115" spans="1:5" ht="15.5" x14ac:dyDescent="0.35">
      <c r="A115" s="956">
        <v>3930</v>
      </c>
      <c r="B115" s="885" t="s">
        <v>893</v>
      </c>
      <c r="C115" s="885" t="s">
        <v>894</v>
      </c>
      <c r="D115" s="885" t="s">
        <v>895</v>
      </c>
      <c r="E115" s="885" t="s">
        <v>1251</v>
      </c>
    </row>
    <row r="116" spans="1:5" ht="15.5" x14ac:dyDescent="0.35">
      <c r="A116" s="956">
        <v>3960</v>
      </c>
      <c r="B116" s="885" t="s">
        <v>1255</v>
      </c>
      <c r="C116" s="885" t="s">
        <v>1256</v>
      </c>
      <c r="D116" s="885" t="s">
        <v>1257</v>
      </c>
      <c r="E116" s="885" t="s">
        <v>1251</v>
      </c>
    </row>
    <row r="117" spans="1:5" ht="15.5" x14ac:dyDescent="0.35">
      <c r="A117" s="956">
        <v>3970</v>
      </c>
      <c r="B117" s="885" t="s">
        <v>896</v>
      </c>
      <c r="C117" s="885" t="s">
        <v>897</v>
      </c>
      <c r="D117" s="885" t="s">
        <v>2299</v>
      </c>
      <c r="E117" s="885" t="s">
        <v>1251</v>
      </c>
    </row>
    <row r="118" spans="1:5" ht="15.5" x14ac:dyDescent="0.35">
      <c r="A118" s="956">
        <v>6600</v>
      </c>
      <c r="B118" s="885" t="s">
        <v>715</v>
      </c>
      <c r="C118" s="885" t="s">
        <v>716</v>
      </c>
      <c r="D118" s="885" t="s">
        <v>717</v>
      </c>
      <c r="E118" s="885" t="s">
        <v>801</v>
      </c>
    </row>
    <row r="119" spans="1:5" ht="15.5" x14ac:dyDescent="0.35">
      <c r="A119" s="956">
        <v>6660</v>
      </c>
      <c r="B119" s="885" t="s">
        <v>697</v>
      </c>
      <c r="C119" s="885" t="s">
        <v>698</v>
      </c>
      <c r="D119" s="885" t="s">
        <v>699</v>
      </c>
      <c r="E119" s="885" t="s">
        <v>801</v>
      </c>
    </row>
    <row r="120" spans="1:5" ht="15.5" x14ac:dyDescent="0.35">
      <c r="A120" s="956">
        <v>6690</v>
      </c>
      <c r="B120" s="885" t="s">
        <v>2152</v>
      </c>
      <c r="C120" s="885" t="s">
        <v>2153</v>
      </c>
      <c r="D120" s="885" t="s">
        <v>2154</v>
      </c>
      <c r="E120" s="885" t="s">
        <v>801</v>
      </c>
    </row>
    <row r="121" spans="1:5" ht="15.5" x14ac:dyDescent="0.35">
      <c r="A121" s="956">
        <v>6700</v>
      </c>
      <c r="B121" s="885" t="s">
        <v>2306</v>
      </c>
      <c r="C121" s="885" t="s">
        <v>799</v>
      </c>
      <c r="D121" s="885" t="s">
        <v>800</v>
      </c>
      <c r="E121" s="885" t="s">
        <v>801</v>
      </c>
    </row>
    <row r="122" spans="1:5" ht="15.5" x14ac:dyDescent="0.35">
      <c r="A122" s="956">
        <v>6740</v>
      </c>
      <c r="B122" s="885" t="s">
        <v>718</v>
      </c>
      <c r="C122" s="885" t="s">
        <v>719</v>
      </c>
      <c r="D122" s="885" t="s">
        <v>720</v>
      </c>
      <c r="E122" s="885" t="s">
        <v>801</v>
      </c>
    </row>
    <row r="123" spans="1:5" ht="15.5" x14ac:dyDescent="0.35">
      <c r="A123" s="956">
        <v>6760</v>
      </c>
      <c r="B123" s="885" t="s">
        <v>703</v>
      </c>
      <c r="C123" s="885" t="s">
        <v>704</v>
      </c>
      <c r="D123" s="885" t="s">
        <v>705</v>
      </c>
      <c r="E123" s="885" t="s">
        <v>801</v>
      </c>
    </row>
    <row r="124" spans="1:5" ht="15.5" x14ac:dyDescent="0.35">
      <c r="A124" s="957">
        <v>6762</v>
      </c>
      <c r="B124" s="886" t="s">
        <v>721</v>
      </c>
      <c r="C124" s="886" t="s">
        <v>722</v>
      </c>
      <c r="D124" s="886" t="s">
        <v>723</v>
      </c>
      <c r="E124" s="886" t="s">
        <v>801</v>
      </c>
    </row>
    <row r="125" spans="1:5" ht="15.5" x14ac:dyDescent="0.35">
      <c r="A125" s="956">
        <v>6791</v>
      </c>
      <c r="B125" s="885" t="s">
        <v>706</v>
      </c>
      <c r="C125" s="885" t="s">
        <v>707</v>
      </c>
      <c r="D125" s="885" t="s">
        <v>708</v>
      </c>
      <c r="E125" s="885" t="s">
        <v>801</v>
      </c>
    </row>
    <row r="126" spans="1:5" ht="15.5" x14ac:dyDescent="0.35">
      <c r="A126" s="956">
        <v>6800</v>
      </c>
      <c r="B126" s="885" t="s">
        <v>712</v>
      </c>
      <c r="C126" s="885" t="s">
        <v>713</v>
      </c>
      <c r="D126" s="885" t="s">
        <v>714</v>
      </c>
      <c r="E126" s="885" t="s">
        <v>801</v>
      </c>
    </row>
    <row r="127" spans="1:5" ht="15.5" x14ac:dyDescent="0.35">
      <c r="A127" s="956">
        <v>6820</v>
      </c>
      <c r="B127" s="885" t="s">
        <v>805</v>
      </c>
      <c r="C127" s="885" t="s">
        <v>2144</v>
      </c>
      <c r="D127" s="885" t="s">
        <v>2145</v>
      </c>
      <c r="E127" s="885" t="s">
        <v>801</v>
      </c>
    </row>
    <row r="128" spans="1:5" ht="15.5" x14ac:dyDescent="0.35">
      <c r="A128" s="956">
        <v>6832</v>
      </c>
      <c r="B128" s="885" t="s">
        <v>2155</v>
      </c>
      <c r="C128" s="885" t="s">
        <v>2156</v>
      </c>
      <c r="D128" s="885" t="s">
        <v>2157</v>
      </c>
      <c r="E128" s="885" t="s">
        <v>801</v>
      </c>
    </row>
    <row r="129" spans="1:5" ht="15.5" x14ac:dyDescent="0.35">
      <c r="A129" s="956">
        <v>6840</v>
      </c>
      <c r="B129" s="885" t="s">
        <v>2158</v>
      </c>
      <c r="C129" s="885" t="s">
        <v>2159</v>
      </c>
      <c r="D129" s="885" t="s">
        <v>693</v>
      </c>
      <c r="E129" s="885" t="s">
        <v>801</v>
      </c>
    </row>
    <row r="130" spans="1:5" ht="15.5" x14ac:dyDescent="0.35">
      <c r="A130" s="956">
        <v>6850</v>
      </c>
      <c r="B130" s="885" t="s">
        <v>2146</v>
      </c>
      <c r="C130" s="885" t="s">
        <v>2147</v>
      </c>
      <c r="D130" s="885" t="s">
        <v>2148</v>
      </c>
      <c r="E130" s="885" t="s">
        <v>801</v>
      </c>
    </row>
    <row r="131" spans="1:5" ht="15.5" x14ac:dyDescent="0.35">
      <c r="A131" s="956">
        <v>6870</v>
      </c>
      <c r="B131" s="885" t="s">
        <v>802</v>
      </c>
      <c r="C131" s="885" t="s">
        <v>803</v>
      </c>
      <c r="D131" s="885" t="s">
        <v>804</v>
      </c>
      <c r="E131" s="885" t="s">
        <v>801</v>
      </c>
    </row>
    <row r="132" spans="1:5" ht="15.5" x14ac:dyDescent="0.35">
      <c r="A132" s="956">
        <v>6880</v>
      </c>
      <c r="B132" s="885" t="s">
        <v>694</v>
      </c>
      <c r="C132" s="885" t="s">
        <v>695</v>
      </c>
      <c r="D132" s="885" t="s">
        <v>696</v>
      </c>
      <c r="E132" s="885" t="s">
        <v>801</v>
      </c>
    </row>
    <row r="133" spans="1:5" ht="15.5" x14ac:dyDescent="0.35">
      <c r="A133" s="956">
        <v>6900</v>
      </c>
      <c r="B133" s="885" t="s">
        <v>700</v>
      </c>
      <c r="C133" s="885" t="s">
        <v>701</v>
      </c>
      <c r="D133" s="885" t="s">
        <v>702</v>
      </c>
      <c r="E133" s="885" t="s">
        <v>801</v>
      </c>
    </row>
    <row r="134" spans="1:5" ht="15.5" x14ac:dyDescent="0.35">
      <c r="A134" s="956">
        <v>6980</v>
      </c>
      <c r="B134" s="885" t="s">
        <v>709</v>
      </c>
      <c r="C134" s="885" t="s">
        <v>710</v>
      </c>
      <c r="D134" s="885" t="s">
        <v>711</v>
      </c>
      <c r="E134" s="885" t="s">
        <v>801</v>
      </c>
    </row>
    <row r="135" spans="1:5" ht="15.5" x14ac:dyDescent="0.35">
      <c r="A135" s="956">
        <v>6997</v>
      </c>
      <c r="B135" s="885" t="s">
        <v>2149</v>
      </c>
      <c r="C135" s="885" t="s">
        <v>2150</v>
      </c>
      <c r="D135" s="885" t="s">
        <v>2151</v>
      </c>
      <c r="E135" s="885" t="s">
        <v>801</v>
      </c>
    </row>
    <row r="136" spans="1:5" ht="15.5" x14ac:dyDescent="0.35">
      <c r="A136" s="956">
        <v>5000</v>
      </c>
      <c r="B136" s="885" t="s">
        <v>727</v>
      </c>
      <c r="C136" s="885" t="s">
        <v>749</v>
      </c>
      <c r="D136" s="885" t="s">
        <v>750</v>
      </c>
      <c r="E136" s="885" t="s">
        <v>727</v>
      </c>
    </row>
    <row r="137" spans="1:5" ht="15.5" x14ac:dyDescent="0.35">
      <c r="A137" s="957">
        <v>5000</v>
      </c>
      <c r="B137" s="886" t="s">
        <v>727</v>
      </c>
      <c r="C137" s="886" t="s">
        <v>749</v>
      </c>
      <c r="D137" s="886" t="s">
        <v>750</v>
      </c>
      <c r="E137" s="886" t="s">
        <v>727</v>
      </c>
    </row>
    <row r="138" spans="1:5" ht="15.5" x14ac:dyDescent="0.35">
      <c r="A138" s="956">
        <v>5000</v>
      </c>
      <c r="B138" s="885" t="s">
        <v>751</v>
      </c>
      <c r="C138" s="885" t="s">
        <v>752</v>
      </c>
      <c r="D138" s="885" t="s">
        <v>753</v>
      </c>
      <c r="E138" s="885" t="s">
        <v>727</v>
      </c>
    </row>
    <row r="139" spans="1:5" ht="15.5" x14ac:dyDescent="0.35">
      <c r="A139" s="957">
        <v>5030</v>
      </c>
      <c r="B139" s="886" t="s">
        <v>1062</v>
      </c>
      <c r="C139" s="886" t="s">
        <v>1063</v>
      </c>
      <c r="D139" s="886" t="s">
        <v>1064</v>
      </c>
      <c r="E139" s="886" t="s">
        <v>727</v>
      </c>
    </row>
    <row r="140" spans="1:5" ht="15.5" x14ac:dyDescent="0.35">
      <c r="A140" s="956">
        <v>5060</v>
      </c>
      <c r="B140" s="885" t="s">
        <v>740</v>
      </c>
      <c r="C140" s="885" t="s">
        <v>741</v>
      </c>
      <c r="D140" s="885" t="s">
        <v>742</v>
      </c>
      <c r="E140" s="885" t="s">
        <v>727</v>
      </c>
    </row>
    <row r="141" spans="1:5" ht="15.5" x14ac:dyDescent="0.35">
      <c r="A141" s="956">
        <v>5070</v>
      </c>
      <c r="B141" s="885" t="s">
        <v>731</v>
      </c>
      <c r="C141" s="885" t="s">
        <v>732</v>
      </c>
      <c r="D141" s="885" t="s">
        <v>733</v>
      </c>
      <c r="E141" s="885" t="s">
        <v>727</v>
      </c>
    </row>
    <row r="142" spans="1:5" ht="15.5" x14ac:dyDescent="0.35">
      <c r="A142" s="957">
        <v>5300</v>
      </c>
      <c r="B142" s="886" t="s">
        <v>1065</v>
      </c>
      <c r="C142" s="886" t="s">
        <v>1066</v>
      </c>
      <c r="D142" s="886" t="s">
        <v>1067</v>
      </c>
      <c r="E142" s="886" t="s">
        <v>727</v>
      </c>
    </row>
    <row r="143" spans="1:5" ht="15.5" x14ac:dyDescent="0.35">
      <c r="A143" s="956">
        <v>5310</v>
      </c>
      <c r="B143" s="885" t="s">
        <v>757</v>
      </c>
      <c r="C143" s="885" t="s">
        <v>889</v>
      </c>
      <c r="D143" s="885" t="s">
        <v>1055</v>
      </c>
      <c r="E143" s="885" t="s">
        <v>727</v>
      </c>
    </row>
    <row r="144" spans="1:5" ht="15.5" x14ac:dyDescent="0.35">
      <c r="A144" s="956">
        <v>5500</v>
      </c>
      <c r="B144" s="885" t="s">
        <v>746</v>
      </c>
      <c r="C144" s="885" t="s">
        <v>747</v>
      </c>
      <c r="D144" s="885" t="s">
        <v>748</v>
      </c>
      <c r="E144" s="885" t="s">
        <v>727</v>
      </c>
    </row>
    <row r="145" spans="1:5" ht="15.5" x14ac:dyDescent="0.35">
      <c r="A145" s="956">
        <v>5550</v>
      </c>
      <c r="B145" s="890" t="s">
        <v>743</v>
      </c>
      <c r="C145" s="885" t="s">
        <v>744</v>
      </c>
      <c r="D145" s="885" t="s">
        <v>745</v>
      </c>
      <c r="E145" s="885" t="s">
        <v>727</v>
      </c>
    </row>
    <row r="146" spans="1:5" ht="15.5" x14ac:dyDescent="0.35">
      <c r="A146" s="956">
        <v>5570</v>
      </c>
      <c r="B146" s="885" t="s">
        <v>754</v>
      </c>
      <c r="C146" s="885" t="s">
        <v>755</v>
      </c>
      <c r="D146" s="885" t="s">
        <v>756</v>
      </c>
      <c r="E146" s="885" t="s">
        <v>727</v>
      </c>
    </row>
    <row r="147" spans="1:5" ht="15.5" x14ac:dyDescent="0.35">
      <c r="A147" s="956">
        <v>5575</v>
      </c>
      <c r="B147" s="885" t="s">
        <v>734</v>
      </c>
      <c r="C147" s="885" t="s">
        <v>735</v>
      </c>
      <c r="D147" s="885" t="s">
        <v>736</v>
      </c>
      <c r="E147" s="885" t="s">
        <v>727</v>
      </c>
    </row>
    <row r="148" spans="1:5" ht="15.5" x14ac:dyDescent="0.35">
      <c r="A148" s="956">
        <v>5580</v>
      </c>
      <c r="B148" s="885" t="s">
        <v>728</v>
      </c>
      <c r="C148" s="885" t="s">
        <v>729</v>
      </c>
      <c r="D148" s="885" t="s">
        <v>730</v>
      </c>
      <c r="E148" s="885" t="s">
        <v>727</v>
      </c>
    </row>
    <row r="149" spans="1:5" ht="15.5" x14ac:dyDescent="0.35">
      <c r="A149" s="956">
        <v>5590</v>
      </c>
      <c r="B149" s="885" t="s">
        <v>737</v>
      </c>
      <c r="C149" s="885" t="s">
        <v>738</v>
      </c>
      <c r="D149" s="885" t="s">
        <v>739</v>
      </c>
      <c r="E149" s="885" t="s">
        <v>727</v>
      </c>
    </row>
    <row r="150" spans="1:5" ht="15.5" x14ac:dyDescent="0.35">
      <c r="A150" s="956">
        <v>5600</v>
      </c>
      <c r="B150" s="885" t="s">
        <v>1059</v>
      </c>
      <c r="C150" s="885" t="s">
        <v>1060</v>
      </c>
      <c r="D150" s="885" t="s">
        <v>1061</v>
      </c>
      <c r="E150" s="885" t="s">
        <v>727</v>
      </c>
    </row>
    <row r="151" spans="1:5" ht="15.5" x14ac:dyDescent="0.35">
      <c r="A151" s="956">
        <v>5620</v>
      </c>
      <c r="B151" s="885" t="s">
        <v>724</v>
      </c>
      <c r="C151" s="885" t="s">
        <v>725</v>
      </c>
      <c r="D151" s="885" t="s">
        <v>726</v>
      </c>
      <c r="E151" s="885" t="s">
        <v>727</v>
      </c>
    </row>
    <row r="152" spans="1:5" ht="15.5" x14ac:dyDescent="0.35">
      <c r="A152" s="956">
        <v>5660</v>
      </c>
      <c r="B152" s="885" t="s">
        <v>1056</v>
      </c>
      <c r="C152" s="885" t="s">
        <v>1057</v>
      </c>
      <c r="D152" s="885" t="s">
        <v>1058</v>
      </c>
      <c r="E152" s="885" t="s">
        <v>727</v>
      </c>
    </row>
    <row r="153" spans="1:5" ht="15.5" x14ac:dyDescent="0.35">
      <c r="A153" s="956">
        <v>9000</v>
      </c>
      <c r="B153" s="885" t="s">
        <v>966</v>
      </c>
      <c r="C153" s="885" t="s">
        <v>967</v>
      </c>
      <c r="D153" s="885" t="s">
        <v>968</v>
      </c>
      <c r="E153" s="885" t="s">
        <v>1795</v>
      </c>
    </row>
    <row r="154" spans="1:5" ht="15.5" x14ac:dyDescent="0.35">
      <c r="A154" s="956">
        <v>9000</v>
      </c>
      <c r="B154" s="885" t="s">
        <v>966</v>
      </c>
      <c r="C154" s="885" t="s">
        <v>1583</v>
      </c>
      <c r="D154" s="885" t="s">
        <v>1584</v>
      </c>
      <c r="E154" s="885" t="s">
        <v>1795</v>
      </c>
    </row>
    <row r="155" spans="1:5" ht="15.5" x14ac:dyDescent="0.35">
      <c r="A155" s="956">
        <v>9050</v>
      </c>
      <c r="B155" s="885" t="s">
        <v>996</v>
      </c>
      <c r="C155" s="885" t="s">
        <v>997</v>
      </c>
      <c r="D155" s="885" t="s">
        <v>998</v>
      </c>
      <c r="E155" s="885" t="s">
        <v>1795</v>
      </c>
    </row>
    <row r="156" spans="1:5" ht="15.5" x14ac:dyDescent="0.35">
      <c r="A156" s="956">
        <v>9060</v>
      </c>
      <c r="B156" s="885" t="s">
        <v>1724</v>
      </c>
      <c r="C156" s="885" t="s">
        <v>1725</v>
      </c>
      <c r="D156" s="885" t="s">
        <v>1726</v>
      </c>
      <c r="E156" s="885" t="s">
        <v>1795</v>
      </c>
    </row>
    <row r="157" spans="1:5" ht="15.5" x14ac:dyDescent="0.35">
      <c r="A157" s="956">
        <v>9090</v>
      </c>
      <c r="B157" s="885" t="s">
        <v>1730</v>
      </c>
      <c r="C157" s="885" t="s">
        <v>1731</v>
      </c>
      <c r="D157" s="885" t="s">
        <v>1732</v>
      </c>
      <c r="E157" s="885" t="s">
        <v>1795</v>
      </c>
    </row>
    <row r="158" spans="1:5" ht="15.5" x14ac:dyDescent="0.35">
      <c r="A158" s="956">
        <v>9100</v>
      </c>
      <c r="B158" s="885" t="s">
        <v>1792</v>
      </c>
      <c r="C158" s="885" t="s">
        <v>1793</v>
      </c>
      <c r="D158" s="885" t="s">
        <v>1794</v>
      </c>
      <c r="E158" s="885" t="s">
        <v>1795</v>
      </c>
    </row>
    <row r="159" spans="1:5" ht="15.5" x14ac:dyDescent="0.35">
      <c r="A159" s="956">
        <v>9120</v>
      </c>
      <c r="B159" s="885" t="s">
        <v>1805</v>
      </c>
      <c r="C159" s="885" t="s">
        <v>1806</v>
      </c>
      <c r="D159" s="885" t="s">
        <v>1807</v>
      </c>
      <c r="E159" s="885" t="s">
        <v>1795</v>
      </c>
    </row>
    <row r="160" spans="1:5" ht="15.5" x14ac:dyDescent="0.35">
      <c r="A160" s="956">
        <v>9140</v>
      </c>
      <c r="B160" s="885" t="s">
        <v>1808</v>
      </c>
      <c r="C160" s="885" t="s">
        <v>1809</v>
      </c>
      <c r="D160" s="885" t="s">
        <v>1810</v>
      </c>
      <c r="E160" s="885" t="s">
        <v>1795</v>
      </c>
    </row>
    <row r="161" spans="1:5" ht="15.5" x14ac:dyDescent="0.35">
      <c r="A161" s="956">
        <v>9140</v>
      </c>
      <c r="B161" s="885" t="s">
        <v>1808</v>
      </c>
      <c r="C161" s="885" t="s">
        <v>1582</v>
      </c>
      <c r="D161" s="885" t="s">
        <v>1810</v>
      </c>
      <c r="E161" s="885" t="s">
        <v>1795</v>
      </c>
    </row>
    <row r="162" spans="1:5" ht="15.5" x14ac:dyDescent="0.35">
      <c r="A162" s="956">
        <v>9150</v>
      </c>
      <c r="B162" s="885" t="s">
        <v>975</v>
      </c>
      <c r="C162" s="885" t="s">
        <v>976</v>
      </c>
      <c r="D162" s="885" t="s">
        <v>977</v>
      </c>
      <c r="E162" s="885" t="s">
        <v>1795</v>
      </c>
    </row>
    <row r="163" spans="1:5" ht="15.5" x14ac:dyDescent="0.35">
      <c r="A163" s="956">
        <v>9160</v>
      </c>
      <c r="B163" s="885" t="s">
        <v>984</v>
      </c>
      <c r="C163" s="885" t="s">
        <v>985</v>
      </c>
      <c r="D163" s="885" t="s">
        <v>986</v>
      </c>
      <c r="E163" s="885" t="s">
        <v>1795</v>
      </c>
    </row>
    <row r="164" spans="1:5" ht="15.5" x14ac:dyDescent="0.35">
      <c r="A164" s="956">
        <v>9170</v>
      </c>
      <c r="B164" s="885" t="s">
        <v>978</v>
      </c>
      <c r="C164" s="885" t="s">
        <v>979</v>
      </c>
      <c r="D164" s="885" t="s">
        <v>980</v>
      </c>
      <c r="E164" s="885" t="s">
        <v>1795</v>
      </c>
    </row>
    <row r="165" spans="1:5" ht="15.5" x14ac:dyDescent="0.35">
      <c r="A165" s="956">
        <v>9200</v>
      </c>
      <c r="B165" s="885" t="s">
        <v>993</v>
      </c>
      <c r="C165" s="885" t="s">
        <v>994</v>
      </c>
      <c r="D165" s="885" t="s">
        <v>1581</v>
      </c>
      <c r="E165" s="885" t="s">
        <v>1795</v>
      </c>
    </row>
    <row r="166" spans="1:5" ht="15.5" x14ac:dyDescent="0.35">
      <c r="A166" s="956">
        <v>9200</v>
      </c>
      <c r="B166" s="885" t="s">
        <v>993</v>
      </c>
      <c r="C166" s="885" t="s">
        <v>1748</v>
      </c>
      <c r="D166" s="885" t="s">
        <v>1749</v>
      </c>
      <c r="E166" s="885" t="s">
        <v>1795</v>
      </c>
    </row>
    <row r="167" spans="1:5" ht="15.5" x14ac:dyDescent="0.35">
      <c r="A167" s="956">
        <v>9220</v>
      </c>
      <c r="B167" s="885" t="s">
        <v>65</v>
      </c>
      <c r="C167" s="885" t="s">
        <v>66</v>
      </c>
      <c r="D167" s="885" t="s">
        <v>67</v>
      </c>
      <c r="E167" s="885" t="s">
        <v>1795</v>
      </c>
    </row>
    <row r="168" spans="1:5" ht="15.5" x14ac:dyDescent="0.35">
      <c r="A168" s="956">
        <v>9230</v>
      </c>
      <c r="B168" s="885" t="s">
        <v>987</v>
      </c>
      <c r="C168" s="885" t="s">
        <v>988</v>
      </c>
      <c r="D168" s="885" t="s">
        <v>989</v>
      </c>
      <c r="E168" s="885" t="s">
        <v>1795</v>
      </c>
    </row>
    <row r="169" spans="1:5" ht="15.5" x14ac:dyDescent="0.35">
      <c r="A169" s="956">
        <v>9240</v>
      </c>
      <c r="B169" s="885" t="s">
        <v>1739</v>
      </c>
      <c r="C169" s="885" t="s">
        <v>1740</v>
      </c>
      <c r="D169" s="885" t="s">
        <v>1741</v>
      </c>
      <c r="E169" s="885" t="s">
        <v>1795</v>
      </c>
    </row>
    <row r="170" spans="1:5" ht="15.5" x14ac:dyDescent="0.35">
      <c r="A170" s="956">
        <v>9260</v>
      </c>
      <c r="B170" s="885" t="s">
        <v>1736</v>
      </c>
      <c r="C170" s="885" t="s">
        <v>1737</v>
      </c>
      <c r="D170" s="885" t="s">
        <v>1738</v>
      </c>
      <c r="E170" s="885" t="s">
        <v>1795</v>
      </c>
    </row>
    <row r="171" spans="1:5" ht="15.5" x14ac:dyDescent="0.35">
      <c r="A171" s="956">
        <v>9300</v>
      </c>
      <c r="B171" s="885" t="s">
        <v>990</v>
      </c>
      <c r="C171" s="885" t="s">
        <v>991</v>
      </c>
      <c r="D171" s="885" t="s">
        <v>992</v>
      </c>
      <c r="E171" s="885" t="s">
        <v>1795</v>
      </c>
    </row>
    <row r="172" spans="1:5" ht="15.5" x14ac:dyDescent="0.35">
      <c r="A172" s="956">
        <v>9400</v>
      </c>
      <c r="B172" s="885" t="s">
        <v>1733</v>
      </c>
      <c r="C172" s="885" t="s">
        <v>1734</v>
      </c>
      <c r="D172" s="885" t="s">
        <v>1735</v>
      </c>
      <c r="E172" s="885" t="s">
        <v>1795</v>
      </c>
    </row>
    <row r="173" spans="1:5" ht="15.5" x14ac:dyDescent="0.35">
      <c r="A173" s="956">
        <v>9500</v>
      </c>
      <c r="B173" s="885" t="s">
        <v>1802</v>
      </c>
      <c r="C173" s="885" t="s">
        <v>1803</v>
      </c>
      <c r="D173" s="885" t="s">
        <v>1804</v>
      </c>
      <c r="E173" s="885" t="s">
        <v>1795</v>
      </c>
    </row>
    <row r="174" spans="1:5" ht="15.5" x14ac:dyDescent="0.35">
      <c r="A174" s="957">
        <v>9550</v>
      </c>
      <c r="B174" s="886" t="s">
        <v>1750</v>
      </c>
      <c r="C174" s="885" t="s">
        <v>1751</v>
      </c>
      <c r="D174" s="886" t="s">
        <v>1752</v>
      </c>
      <c r="E174" s="885" t="s">
        <v>1795</v>
      </c>
    </row>
    <row r="175" spans="1:5" ht="15.5" x14ac:dyDescent="0.35">
      <c r="A175" s="956">
        <v>9600</v>
      </c>
      <c r="B175" s="885" t="s">
        <v>1727</v>
      </c>
      <c r="C175" s="885" t="s">
        <v>1728</v>
      </c>
      <c r="D175" s="885" t="s">
        <v>1729</v>
      </c>
      <c r="E175" s="885" t="s">
        <v>1795</v>
      </c>
    </row>
    <row r="176" spans="1:5" ht="15.5" x14ac:dyDescent="0.35">
      <c r="A176" s="956">
        <v>9620</v>
      </c>
      <c r="B176" s="885" t="s">
        <v>1796</v>
      </c>
      <c r="C176" s="885" t="s">
        <v>1797</v>
      </c>
      <c r="D176" s="885" t="s">
        <v>1798</v>
      </c>
      <c r="E176" s="885" t="s">
        <v>1795</v>
      </c>
    </row>
    <row r="177" spans="1:5" ht="15.5" x14ac:dyDescent="0.35">
      <c r="A177" s="956">
        <v>9660</v>
      </c>
      <c r="B177" s="885" t="s">
        <v>999</v>
      </c>
      <c r="C177" s="885" t="s">
        <v>1000</v>
      </c>
      <c r="D177" s="885" t="s">
        <v>1001</v>
      </c>
      <c r="E177" s="885" t="s">
        <v>1795</v>
      </c>
    </row>
    <row r="178" spans="1:5" ht="15.5" x14ac:dyDescent="0.35">
      <c r="A178" s="956">
        <v>9700</v>
      </c>
      <c r="B178" s="885" t="s">
        <v>972</v>
      </c>
      <c r="C178" s="885" t="s">
        <v>973</v>
      </c>
      <c r="D178" s="885" t="s">
        <v>974</v>
      </c>
      <c r="E178" s="885" t="s">
        <v>1795</v>
      </c>
    </row>
    <row r="179" spans="1:5" ht="15.5" x14ac:dyDescent="0.35">
      <c r="A179" s="956">
        <v>9770</v>
      </c>
      <c r="B179" s="885" t="s">
        <v>1742</v>
      </c>
      <c r="C179" s="885" t="s">
        <v>1743</v>
      </c>
      <c r="D179" s="885" t="s">
        <v>1744</v>
      </c>
      <c r="E179" s="885" t="s">
        <v>1795</v>
      </c>
    </row>
    <row r="180" spans="1:5" ht="15.5" x14ac:dyDescent="0.35">
      <c r="A180" s="956">
        <v>9800</v>
      </c>
      <c r="B180" s="885" t="s">
        <v>1799</v>
      </c>
      <c r="C180" s="885" t="s">
        <v>1800</v>
      </c>
      <c r="D180" s="885" t="s">
        <v>1801</v>
      </c>
      <c r="E180" s="885" t="s">
        <v>1795</v>
      </c>
    </row>
    <row r="181" spans="1:5" ht="15.5" x14ac:dyDescent="0.35">
      <c r="A181" s="956">
        <v>9820</v>
      </c>
      <c r="B181" s="885" t="s">
        <v>1588</v>
      </c>
      <c r="C181" s="885" t="s">
        <v>63</v>
      </c>
      <c r="D181" s="885" t="s">
        <v>64</v>
      </c>
      <c r="E181" s="885" t="s">
        <v>1795</v>
      </c>
    </row>
    <row r="182" spans="1:5" ht="15.5" x14ac:dyDescent="0.35">
      <c r="A182" s="956">
        <v>9880</v>
      </c>
      <c r="B182" s="885" t="s">
        <v>969</v>
      </c>
      <c r="C182" s="885" t="s">
        <v>970</v>
      </c>
      <c r="D182" s="885" t="s">
        <v>971</v>
      </c>
      <c r="E182" s="885" t="s">
        <v>1795</v>
      </c>
    </row>
    <row r="183" spans="1:5" ht="15.5" x14ac:dyDescent="0.35">
      <c r="A183" s="956">
        <v>9890</v>
      </c>
      <c r="B183" s="885" t="s">
        <v>1745</v>
      </c>
      <c r="C183" s="885" t="s">
        <v>1746</v>
      </c>
      <c r="D183" s="885" t="s">
        <v>1747</v>
      </c>
      <c r="E183" s="885" t="s">
        <v>1795</v>
      </c>
    </row>
    <row r="184" spans="1:5" ht="15.5" x14ac:dyDescent="0.35">
      <c r="A184" s="956">
        <v>9900</v>
      </c>
      <c r="B184" s="885" t="s">
        <v>1585</v>
      </c>
      <c r="C184" s="885" t="s">
        <v>1586</v>
      </c>
      <c r="D184" s="885" t="s">
        <v>1587</v>
      </c>
      <c r="E184" s="885" t="s">
        <v>1795</v>
      </c>
    </row>
    <row r="185" spans="1:5" ht="15.5" x14ac:dyDescent="0.35">
      <c r="A185" s="956">
        <v>9960</v>
      </c>
      <c r="B185" s="885" t="s">
        <v>1002</v>
      </c>
      <c r="C185" s="885" t="s">
        <v>1003</v>
      </c>
      <c r="D185" s="885" t="s">
        <v>1004</v>
      </c>
      <c r="E185" s="886" t="s">
        <v>1795</v>
      </c>
    </row>
    <row r="186" spans="1:5" ht="15.5" x14ac:dyDescent="0.35">
      <c r="A186" s="956">
        <v>9990</v>
      </c>
      <c r="B186" s="885" t="s">
        <v>981</v>
      </c>
      <c r="C186" s="885" t="s">
        <v>982</v>
      </c>
      <c r="D186" s="885" t="s">
        <v>983</v>
      </c>
      <c r="E186" s="885" t="s">
        <v>1795</v>
      </c>
    </row>
    <row r="187" spans="1:5" ht="15.5" x14ac:dyDescent="0.35">
      <c r="A187" s="957">
        <v>1090</v>
      </c>
      <c r="B187" s="886" t="s">
        <v>506</v>
      </c>
      <c r="C187" s="886" t="s">
        <v>507</v>
      </c>
      <c r="D187" s="886" t="s">
        <v>508</v>
      </c>
      <c r="E187" s="886" t="s">
        <v>797</v>
      </c>
    </row>
    <row r="188" spans="1:5" ht="15.5" x14ac:dyDescent="0.35">
      <c r="A188" s="956">
        <v>1120</v>
      </c>
      <c r="B188" s="885" t="s">
        <v>503</v>
      </c>
      <c r="C188" s="885" t="s">
        <v>504</v>
      </c>
      <c r="D188" s="885" t="s">
        <v>505</v>
      </c>
      <c r="E188" s="885" t="s">
        <v>797</v>
      </c>
    </row>
    <row r="189" spans="1:5" ht="15.5" x14ac:dyDescent="0.35">
      <c r="A189" s="956">
        <v>1500</v>
      </c>
      <c r="B189" s="885" t="s">
        <v>1024</v>
      </c>
      <c r="C189" s="885" t="s">
        <v>1025</v>
      </c>
      <c r="D189" s="885" t="s">
        <v>1026</v>
      </c>
      <c r="E189" s="885" t="s">
        <v>797</v>
      </c>
    </row>
    <row r="190" spans="1:5" ht="15.5" x14ac:dyDescent="0.35">
      <c r="A190" s="957">
        <v>1500</v>
      </c>
      <c r="B190" s="886" t="s">
        <v>1024</v>
      </c>
      <c r="C190" s="886" t="s">
        <v>512</v>
      </c>
      <c r="D190" s="886" t="s">
        <v>513</v>
      </c>
      <c r="E190" s="886" t="s">
        <v>797</v>
      </c>
    </row>
    <row r="191" spans="1:5" ht="15.5" x14ac:dyDescent="0.35">
      <c r="A191" s="957">
        <v>1500</v>
      </c>
      <c r="B191" s="886" t="s">
        <v>514</v>
      </c>
      <c r="C191" s="886" t="s">
        <v>515</v>
      </c>
      <c r="D191" s="886" t="s">
        <v>516</v>
      </c>
      <c r="E191" s="886" t="s">
        <v>797</v>
      </c>
    </row>
    <row r="192" spans="1:5" ht="15.5" x14ac:dyDescent="0.35">
      <c r="A192" s="956">
        <v>1730</v>
      </c>
      <c r="B192" s="885" t="s">
        <v>1030</v>
      </c>
      <c r="C192" s="885" t="s">
        <v>1031</v>
      </c>
      <c r="D192" s="885" t="s">
        <v>1032</v>
      </c>
      <c r="E192" s="885" t="s">
        <v>797</v>
      </c>
    </row>
    <row r="193" spans="1:5" ht="15.5" x14ac:dyDescent="0.35">
      <c r="A193" s="956">
        <v>1750</v>
      </c>
      <c r="B193" s="885" t="s">
        <v>1027</v>
      </c>
      <c r="C193" s="885" t="s">
        <v>1028</v>
      </c>
      <c r="D193" s="885" t="s">
        <v>1029</v>
      </c>
      <c r="E193" s="885" t="s">
        <v>797</v>
      </c>
    </row>
    <row r="194" spans="1:5" ht="15.5" x14ac:dyDescent="0.35">
      <c r="A194" s="956">
        <v>1770</v>
      </c>
      <c r="B194" s="885" t="s">
        <v>1033</v>
      </c>
      <c r="C194" s="885" t="s">
        <v>1034</v>
      </c>
      <c r="D194" s="885" t="s">
        <v>1035</v>
      </c>
      <c r="E194" s="885" t="s">
        <v>797</v>
      </c>
    </row>
    <row r="195" spans="1:5" ht="15.5" x14ac:dyDescent="0.35">
      <c r="A195" s="956">
        <v>1800</v>
      </c>
      <c r="B195" s="885" t="s">
        <v>1042</v>
      </c>
      <c r="C195" s="885" t="s">
        <v>1043</v>
      </c>
      <c r="D195" s="885" t="s">
        <v>1044</v>
      </c>
      <c r="E195" s="885" t="s">
        <v>797</v>
      </c>
    </row>
    <row r="196" spans="1:5" ht="15.5" x14ac:dyDescent="0.35">
      <c r="A196" s="956">
        <v>1840</v>
      </c>
      <c r="B196" s="885" t="s">
        <v>1048</v>
      </c>
      <c r="C196" s="885" t="s">
        <v>1049</v>
      </c>
      <c r="D196" s="885" t="s">
        <v>1050</v>
      </c>
      <c r="E196" s="885" t="s">
        <v>797</v>
      </c>
    </row>
    <row r="197" spans="1:5" ht="15.5" x14ac:dyDescent="0.35">
      <c r="A197" s="956">
        <v>1930</v>
      </c>
      <c r="B197" s="885" t="s">
        <v>1039</v>
      </c>
      <c r="C197" s="885" t="s">
        <v>1040</v>
      </c>
      <c r="D197" s="885" t="s">
        <v>1041</v>
      </c>
      <c r="E197" s="885" t="s">
        <v>797</v>
      </c>
    </row>
    <row r="198" spans="1:5" ht="15.5" x14ac:dyDescent="0.35">
      <c r="A198" s="957">
        <v>1930</v>
      </c>
      <c r="B198" s="886" t="s">
        <v>521</v>
      </c>
      <c r="C198" s="886" t="s">
        <v>522</v>
      </c>
      <c r="D198" s="886" t="s">
        <v>523</v>
      </c>
      <c r="E198" s="886" t="s">
        <v>797</v>
      </c>
    </row>
    <row r="199" spans="1:5" ht="15.5" x14ac:dyDescent="0.35">
      <c r="A199" s="956">
        <v>3000</v>
      </c>
      <c r="B199" s="885" t="s">
        <v>796</v>
      </c>
      <c r="C199" s="885" t="s">
        <v>798</v>
      </c>
      <c r="D199" s="885" t="s">
        <v>1021</v>
      </c>
      <c r="E199" s="885" t="s">
        <v>797</v>
      </c>
    </row>
    <row r="200" spans="1:5" ht="15.5" x14ac:dyDescent="0.35">
      <c r="A200" s="956">
        <v>3000</v>
      </c>
      <c r="B200" s="885" t="s">
        <v>794</v>
      </c>
      <c r="C200" s="885" t="s">
        <v>795</v>
      </c>
      <c r="D200" s="885" t="s">
        <v>796</v>
      </c>
      <c r="E200" s="885" t="s">
        <v>797</v>
      </c>
    </row>
    <row r="201" spans="1:5" ht="15.5" x14ac:dyDescent="0.35">
      <c r="A201" s="957">
        <v>3000</v>
      </c>
      <c r="B201" s="886" t="s">
        <v>794</v>
      </c>
      <c r="C201" s="886" t="s">
        <v>517</v>
      </c>
      <c r="D201" s="886" t="s">
        <v>518</v>
      </c>
      <c r="E201" s="886" t="s">
        <v>797</v>
      </c>
    </row>
    <row r="202" spans="1:5" ht="15.5" x14ac:dyDescent="0.35">
      <c r="A202" s="957">
        <v>3000</v>
      </c>
      <c r="B202" s="886" t="s">
        <v>794</v>
      </c>
      <c r="C202" s="886" t="s">
        <v>519</v>
      </c>
      <c r="D202" s="886" t="s">
        <v>520</v>
      </c>
      <c r="E202" s="886" t="s">
        <v>797</v>
      </c>
    </row>
    <row r="203" spans="1:5" ht="15.5" x14ac:dyDescent="0.35">
      <c r="A203" s="957">
        <v>3000</v>
      </c>
      <c r="B203" s="886" t="s">
        <v>794</v>
      </c>
      <c r="C203" s="886" t="s">
        <v>524</v>
      </c>
      <c r="D203" s="886" t="s">
        <v>525</v>
      </c>
      <c r="E203" s="886" t="s">
        <v>797</v>
      </c>
    </row>
    <row r="204" spans="1:5" ht="15.5" x14ac:dyDescent="0.35">
      <c r="A204" s="957">
        <v>3000</v>
      </c>
      <c r="B204" s="886" t="s">
        <v>794</v>
      </c>
      <c r="C204" s="886" t="s">
        <v>526</v>
      </c>
      <c r="D204" s="886" t="s">
        <v>518</v>
      </c>
      <c r="E204" s="886" t="s">
        <v>797</v>
      </c>
    </row>
    <row r="205" spans="1:5" ht="15.5" x14ac:dyDescent="0.35">
      <c r="A205" s="956">
        <v>3001</v>
      </c>
      <c r="B205" s="885" t="s">
        <v>794</v>
      </c>
      <c r="C205" s="885" t="s">
        <v>1022</v>
      </c>
      <c r="D205" s="885" t="s">
        <v>1023</v>
      </c>
      <c r="E205" s="885" t="s">
        <v>797</v>
      </c>
    </row>
    <row r="206" spans="1:5" ht="15.5" x14ac:dyDescent="0.35">
      <c r="A206" s="956">
        <v>3090</v>
      </c>
      <c r="B206" s="885" t="s">
        <v>500</v>
      </c>
      <c r="C206" s="885" t="s">
        <v>501</v>
      </c>
      <c r="D206" s="885" t="s">
        <v>502</v>
      </c>
      <c r="E206" s="885" t="s">
        <v>797</v>
      </c>
    </row>
    <row r="207" spans="1:5" ht="15.5" x14ac:dyDescent="0.35">
      <c r="A207" s="957">
        <v>3200</v>
      </c>
      <c r="B207" s="886" t="s">
        <v>509</v>
      </c>
      <c r="C207" s="886" t="s">
        <v>510</v>
      </c>
      <c r="D207" s="886" t="s">
        <v>511</v>
      </c>
      <c r="E207" s="886" t="s">
        <v>797</v>
      </c>
    </row>
    <row r="208" spans="1:5" ht="15.5" x14ac:dyDescent="0.35">
      <c r="A208" s="956">
        <v>3290</v>
      </c>
      <c r="B208" s="885" t="s">
        <v>1045</v>
      </c>
      <c r="C208" s="885" t="s">
        <v>1046</v>
      </c>
      <c r="D208" s="885" t="s">
        <v>1047</v>
      </c>
      <c r="E208" s="885" t="s">
        <v>797</v>
      </c>
    </row>
    <row r="209" spans="1:5" ht="15.5" x14ac:dyDescent="0.35">
      <c r="A209" s="956">
        <v>3300</v>
      </c>
      <c r="B209" s="885" t="s">
        <v>1036</v>
      </c>
      <c r="C209" s="885" t="s">
        <v>1037</v>
      </c>
      <c r="D209" s="885" t="s">
        <v>1038</v>
      </c>
      <c r="E209" s="885" t="s">
        <v>797</v>
      </c>
    </row>
    <row r="210" spans="1:5" ht="15.5" x14ac:dyDescent="0.35">
      <c r="A210" s="956">
        <v>3400</v>
      </c>
      <c r="B210" s="885" t="s">
        <v>1051</v>
      </c>
      <c r="C210" s="885" t="s">
        <v>1052</v>
      </c>
      <c r="D210" s="885" t="s">
        <v>499</v>
      </c>
      <c r="E210" s="885" t="s">
        <v>797</v>
      </c>
    </row>
    <row r="211" spans="1:5" ht="15.5" x14ac:dyDescent="0.35">
      <c r="A211" s="956">
        <v>8000</v>
      </c>
      <c r="B211" s="885" t="s">
        <v>1184</v>
      </c>
      <c r="C211" s="885" t="s">
        <v>1185</v>
      </c>
      <c r="D211" s="885" t="s">
        <v>1186</v>
      </c>
      <c r="E211" s="885" t="s">
        <v>530</v>
      </c>
    </row>
    <row r="212" spans="1:5" ht="15.5" x14ac:dyDescent="0.35">
      <c r="A212" s="957">
        <v>8000</v>
      </c>
      <c r="B212" s="886" t="s">
        <v>1184</v>
      </c>
      <c r="C212" s="886" t="s">
        <v>824</v>
      </c>
      <c r="D212" s="886" t="s">
        <v>825</v>
      </c>
      <c r="E212" s="886" t="s">
        <v>530</v>
      </c>
    </row>
    <row r="213" spans="1:5" ht="15.5" x14ac:dyDescent="0.35">
      <c r="A213" s="956">
        <v>8020</v>
      </c>
      <c r="B213" s="885" t="s">
        <v>1349</v>
      </c>
      <c r="C213" s="885" t="s">
        <v>1350</v>
      </c>
      <c r="D213" s="885" t="s">
        <v>1351</v>
      </c>
      <c r="E213" s="885" t="s">
        <v>530</v>
      </c>
    </row>
    <row r="214" spans="1:5" ht="15.5" x14ac:dyDescent="0.35">
      <c r="A214" s="956">
        <v>8020</v>
      </c>
      <c r="B214" s="885" t="s">
        <v>1349</v>
      </c>
      <c r="C214" s="885" t="s">
        <v>1352</v>
      </c>
      <c r="D214" s="885" t="s">
        <v>1351</v>
      </c>
      <c r="E214" s="885" t="s">
        <v>530</v>
      </c>
    </row>
    <row r="215" spans="1:5" ht="15.5" x14ac:dyDescent="0.35">
      <c r="A215" s="956">
        <v>8300</v>
      </c>
      <c r="B215" s="885" t="s">
        <v>1359</v>
      </c>
      <c r="C215" s="885" t="s">
        <v>1360</v>
      </c>
      <c r="D215" s="885" t="s">
        <v>1361</v>
      </c>
      <c r="E215" s="885" t="s">
        <v>530</v>
      </c>
    </row>
    <row r="216" spans="1:5" ht="15.5" x14ac:dyDescent="0.35">
      <c r="A216" s="957">
        <v>8310</v>
      </c>
      <c r="B216" s="886" t="s">
        <v>1184</v>
      </c>
      <c r="C216" s="886" t="s">
        <v>826</v>
      </c>
      <c r="D216" s="886" t="s">
        <v>827</v>
      </c>
      <c r="E216" s="886" t="s">
        <v>530</v>
      </c>
    </row>
    <row r="217" spans="1:5" ht="15.5" x14ac:dyDescent="0.35">
      <c r="A217" s="956">
        <v>8370</v>
      </c>
      <c r="B217" s="885" t="s">
        <v>1202</v>
      </c>
      <c r="C217" s="885" t="s">
        <v>1203</v>
      </c>
      <c r="D217" s="885" t="s">
        <v>1204</v>
      </c>
      <c r="E217" s="885" t="s">
        <v>530</v>
      </c>
    </row>
    <row r="218" spans="1:5" ht="15.5" x14ac:dyDescent="0.35">
      <c r="A218" s="956">
        <v>8400</v>
      </c>
      <c r="B218" s="885" t="s">
        <v>531</v>
      </c>
      <c r="C218" s="885" t="s">
        <v>1329</v>
      </c>
      <c r="D218" s="885" t="s">
        <v>1330</v>
      </c>
      <c r="E218" s="885" t="s">
        <v>530</v>
      </c>
    </row>
    <row r="219" spans="1:5" ht="15.5" x14ac:dyDescent="0.35">
      <c r="A219" s="956">
        <v>8470</v>
      </c>
      <c r="B219" s="885" t="s">
        <v>1210</v>
      </c>
      <c r="C219" s="885" t="s">
        <v>807</v>
      </c>
      <c r="D219" s="885" t="s">
        <v>808</v>
      </c>
      <c r="E219" s="885" t="s">
        <v>530</v>
      </c>
    </row>
    <row r="220" spans="1:5" ht="15.5" x14ac:dyDescent="0.35">
      <c r="A220" s="956">
        <v>8500</v>
      </c>
      <c r="B220" s="885" t="s">
        <v>1187</v>
      </c>
      <c r="C220" s="885" t="s">
        <v>1188</v>
      </c>
      <c r="D220" s="885" t="s">
        <v>1189</v>
      </c>
      <c r="E220" s="885" t="s">
        <v>530</v>
      </c>
    </row>
    <row r="221" spans="1:5" ht="15.5" x14ac:dyDescent="0.35">
      <c r="A221" s="956">
        <v>8530</v>
      </c>
      <c r="B221" s="885" t="s">
        <v>1205</v>
      </c>
      <c r="C221" s="885" t="s">
        <v>1206</v>
      </c>
      <c r="D221" s="885" t="s">
        <v>1207</v>
      </c>
      <c r="E221" s="885" t="s">
        <v>530</v>
      </c>
    </row>
    <row r="222" spans="1:5" ht="15.5" x14ac:dyDescent="0.35">
      <c r="A222" s="956">
        <v>8540</v>
      </c>
      <c r="B222" s="885" t="s">
        <v>1334</v>
      </c>
      <c r="C222" s="885" t="s">
        <v>1335</v>
      </c>
      <c r="D222" s="885" t="s">
        <v>1336</v>
      </c>
      <c r="E222" s="885" t="s">
        <v>530</v>
      </c>
    </row>
    <row r="223" spans="1:5" ht="15.5" x14ac:dyDescent="0.35">
      <c r="A223" s="956">
        <v>8560</v>
      </c>
      <c r="B223" s="885" t="s">
        <v>809</v>
      </c>
      <c r="C223" s="885" t="s">
        <v>810</v>
      </c>
      <c r="D223" s="885" t="s">
        <v>811</v>
      </c>
      <c r="E223" s="885" t="s">
        <v>530</v>
      </c>
    </row>
    <row r="224" spans="1:5" ht="15.5" x14ac:dyDescent="0.35">
      <c r="A224" s="956">
        <v>8580</v>
      </c>
      <c r="B224" s="885" t="s">
        <v>1346</v>
      </c>
      <c r="C224" s="885" t="s">
        <v>1347</v>
      </c>
      <c r="D224" s="885" t="s">
        <v>1348</v>
      </c>
      <c r="E224" s="885" t="s">
        <v>530</v>
      </c>
    </row>
    <row r="225" spans="1:5" ht="15.5" x14ac:dyDescent="0.35">
      <c r="A225" s="956">
        <v>8600</v>
      </c>
      <c r="B225" s="885" t="s">
        <v>815</v>
      </c>
      <c r="C225" s="885" t="s">
        <v>816</v>
      </c>
      <c r="D225" s="885" t="s">
        <v>817</v>
      </c>
      <c r="E225" s="885" t="s">
        <v>530</v>
      </c>
    </row>
    <row r="226" spans="1:5" ht="15.5" x14ac:dyDescent="0.35">
      <c r="A226" s="956">
        <v>8620</v>
      </c>
      <c r="B226" s="885" t="s">
        <v>812</v>
      </c>
      <c r="C226" s="885" t="s">
        <v>813</v>
      </c>
      <c r="D226" s="885" t="s">
        <v>814</v>
      </c>
      <c r="E226" s="885" t="s">
        <v>530</v>
      </c>
    </row>
    <row r="227" spans="1:5" ht="15.5" x14ac:dyDescent="0.35">
      <c r="A227" s="956">
        <v>8630</v>
      </c>
      <c r="B227" s="885" t="s">
        <v>774</v>
      </c>
      <c r="C227" s="885" t="s">
        <v>775</v>
      </c>
      <c r="D227" s="885" t="s">
        <v>1106</v>
      </c>
      <c r="E227" s="885" t="s">
        <v>530</v>
      </c>
    </row>
    <row r="228" spans="1:5" ht="15.5" x14ac:dyDescent="0.35">
      <c r="A228" s="956">
        <v>8650</v>
      </c>
      <c r="B228" s="885" t="s">
        <v>768</v>
      </c>
      <c r="C228" s="885" t="s">
        <v>769</v>
      </c>
      <c r="D228" s="885" t="s">
        <v>770</v>
      </c>
      <c r="E228" s="885" t="s">
        <v>530</v>
      </c>
    </row>
    <row r="229" spans="1:5" ht="15.5" x14ac:dyDescent="0.35">
      <c r="A229" s="956">
        <v>8660</v>
      </c>
      <c r="B229" s="885" t="s">
        <v>1365</v>
      </c>
      <c r="C229" s="885" t="s">
        <v>1366</v>
      </c>
      <c r="D229" s="885" t="s">
        <v>1367</v>
      </c>
      <c r="E229" s="885" t="s">
        <v>530</v>
      </c>
    </row>
    <row r="230" spans="1:5" ht="15.5" x14ac:dyDescent="0.35">
      <c r="A230" s="957">
        <v>8670</v>
      </c>
      <c r="B230" s="886" t="s">
        <v>821</v>
      </c>
      <c r="C230" s="886" t="s">
        <v>822</v>
      </c>
      <c r="D230" s="886" t="s">
        <v>823</v>
      </c>
      <c r="E230" s="886" t="s">
        <v>530</v>
      </c>
    </row>
    <row r="231" spans="1:5" ht="15.5" x14ac:dyDescent="0.35">
      <c r="A231" s="956">
        <v>8700</v>
      </c>
      <c r="B231" s="885" t="s">
        <v>1337</v>
      </c>
      <c r="C231" s="885" t="s">
        <v>1338</v>
      </c>
      <c r="D231" s="885" t="s">
        <v>1339</v>
      </c>
      <c r="E231" s="885" t="s">
        <v>530</v>
      </c>
    </row>
    <row r="232" spans="1:5" ht="15.5" x14ac:dyDescent="0.35">
      <c r="A232" s="956">
        <v>8790</v>
      </c>
      <c r="B232" s="885" t="s">
        <v>527</v>
      </c>
      <c r="C232" s="885" t="s">
        <v>528</v>
      </c>
      <c r="D232" s="885" t="s">
        <v>529</v>
      </c>
      <c r="E232" s="885" t="s">
        <v>530</v>
      </c>
    </row>
    <row r="233" spans="1:5" ht="15.5" x14ac:dyDescent="0.35">
      <c r="A233" s="956">
        <v>8790</v>
      </c>
      <c r="B233" s="885" t="s">
        <v>527</v>
      </c>
      <c r="C233" s="885" t="s">
        <v>1208</v>
      </c>
      <c r="D233" s="885" t="s">
        <v>1209</v>
      </c>
      <c r="E233" s="885" t="s">
        <v>530</v>
      </c>
    </row>
    <row r="234" spans="1:5" ht="15.5" x14ac:dyDescent="0.35">
      <c r="A234" s="956">
        <v>8800</v>
      </c>
      <c r="B234" s="885" t="s">
        <v>1340</v>
      </c>
      <c r="C234" s="885" t="s">
        <v>1341</v>
      </c>
      <c r="D234" s="885" t="s">
        <v>1342</v>
      </c>
      <c r="E234" s="885" t="s">
        <v>530</v>
      </c>
    </row>
    <row r="235" spans="1:5" ht="15.5" x14ac:dyDescent="0.35">
      <c r="A235" s="956">
        <v>8810</v>
      </c>
      <c r="B235" s="885" t="s">
        <v>1196</v>
      </c>
      <c r="C235" s="885" t="s">
        <v>1197</v>
      </c>
      <c r="D235" s="885" t="s">
        <v>1198</v>
      </c>
      <c r="E235" s="885" t="s">
        <v>530</v>
      </c>
    </row>
    <row r="236" spans="1:5" ht="15.5" x14ac:dyDescent="0.35">
      <c r="A236" s="956">
        <v>8820</v>
      </c>
      <c r="B236" s="885" t="s">
        <v>1353</v>
      </c>
      <c r="C236" s="885" t="s">
        <v>1354</v>
      </c>
      <c r="D236" s="885" t="s">
        <v>1355</v>
      </c>
      <c r="E236" s="885" t="s">
        <v>530</v>
      </c>
    </row>
    <row r="237" spans="1:5" ht="15.5" x14ac:dyDescent="0.35">
      <c r="A237" s="956">
        <v>8860</v>
      </c>
      <c r="B237" s="885" t="s">
        <v>1199</v>
      </c>
      <c r="C237" s="885" t="s">
        <v>1200</v>
      </c>
      <c r="D237" s="885" t="s">
        <v>1201</v>
      </c>
      <c r="E237" s="885" t="s">
        <v>530</v>
      </c>
    </row>
    <row r="238" spans="1:5" ht="15.5" x14ac:dyDescent="0.35">
      <c r="A238" s="956">
        <v>8870</v>
      </c>
      <c r="B238" s="885" t="s">
        <v>1193</v>
      </c>
      <c r="C238" s="885" t="s">
        <v>1194</v>
      </c>
      <c r="D238" s="885" t="s">
        <v>1195</v>
      </c>
      <c r="E238" s="885" t="s">
        <v>530</v>
      </c>
    </row>
    <row r="239" spans="1:5" ht="15.5" x14ac:dyDescent="0.35">
      <c r="A239" s="956">
        <v>8880</v>
      </c>
      <c r="B239" s="885" t="s">
        <v>1331</v>
      </c>
      <c r="C239" s="885" t="s">
        <v>1332</v>
      </c>
      <c r="D239" s="885" t="s">
        <v>1333</v>
      </c>
      <c r="E239" s="885" t="s">
        <v>530</v>
      </c>
    </row>
    <row r="240" spans="1:5" ht="15.5" x14ac:dyDescent="0.35">
      <c r="A240" s="956">
        <v>8900</v>
      </c>
      <c r="B240" s="885" t="s">
        <v>818</v>
      </c>
      <c r="C240" s="885" t="s">
        <v>819</v>
      </c>
      <c r="D240" s="885" t="s">
        <v>820</v>
      </c>
      <c r="E240" s="885" t="s">
        <v>530</v>
      </c>
    </row>
    <row r="241" spans="1:5" ht="15.5" x14ac:dyDescent="0.35">
      <c r="A241" s="956">
        <v>8930</v>
      </c>
      <c r="B241" s="885" t="s">
        <v>1356</v>
      </c>
      <c r="C241" s="885" t="s">
        <v>1357</v>
      </c>
      <c r="D241" s="885" t="s">
        <v>1358</v>
      </c>
      <c r="E241" s="885" t="s">
        <v>530</v>
      </c>
    </row>
    <row r="242" spans="1:5" ht="15.5" x14ac:dyDescent="0.35">
      <c r="A242" s="956">
        <v>8940</v>
      </c>
      <c r="B242" s="885" t="s">
        <v>1362</v>
      </c>
      <c r="C242" s="885" t="s">
        <v>1363</v>
      </c>
      <c r="D242" s="885" t="s">
        <v>1364</v>
      </c>
      <c r="E242" s="885" t="s">
        <v>530</v>
      </c>
    </row>
    <row r="243" spans="1:5" ht="15.5" x14ac:dyDescent="0.35">
      <c r="A243" s="957">
        <v>8950</v>
      </c>
      <c r="B243" s="886" t="s">
        <v>1343</v>
      </c>
      <c r="C243" s="886" t="s">
        <v>1344</v>
      </c>
      <c r="D243" s="886" t="s">
        <v>1345</v>
      </c>
      <c r="E243" s="885" t="s">
        <v>530</v>
      </c>
    </row>
    <row r="244" spans="1:5" ht="15.5" x14ac:dyDescent="0.35">
      <c r="A244" s="956">
        <v>8970</v>
      </c>
      <c r="B244" s="885" t="s">
        <v>1190</v>
      </c>
      <c r="C244" s="885" t="s">
        <v>1191</v>
      </c>
      <c r="D244" s="885" t="s">
        <v>1192</v>
      </c>
      <c r="E244" s="885" t="s">
        <v>530</v>
      </c>
    </row>
    <row r="245" spans="1:5" ht="15.5" x14ac:dyDescent="0.35">
      <c r="A245" s="956">
        <v>8972</v>
      </c>
      <c r="B245" s="885" t="s">
        <v>771</v>
      </c>
      <c r="C245" s="885" t="s">
        <v>772</v>
      </c>
      <c r="D245" s="885" t="s">
        <v>773</v>
      </c>
      <c r="E245" s="885" t="s">
        <v>530</v>
      </c>
    </row>
    <row r="246" spans="1:5" ht="15.5" x14ac:dyDescent="0.35">
      <c r="A246" s="960"/>
      <c r="B246" s="891"/>
      <c r="C246" s="891"/>
      <c r="D246" s="891"/>
      <c r="E246" s="891"/>
    </row>
    <row r="247" spans="1:5" ht="15.5" x14ac:dyDescent="0.35">
      <c r="A247" s="960"/>
      <c r="B247" s="891"/>
      <c r="C247" s="891"/>
      <c r="D247" s="891"/>
      <c r="E247" s="891"/>
    </row>
    <row r="248" spans="1:5" ht="12.5" x14ac:dyDescent="0.25">
      <c r="A248" s="961"/>
      <c r="B248" s="873"/>
      <c r="C248" s="873"/>
      <c r="D248" s="873"/>
      <c r="E248" s="873"/>
    </row>
  </sheetData>
  <sheetProtection password="C534" sheet="1" objects="1" scenarios="1" autoFilter="0"/>
  <autoFilter ref="A3:E245" xr:uid="{00000000-0009-0000-0000-000005000000}"/>
  <mergeCells count="2">
    <mergeCell ref="A2:E2"/>
    <mergeCell ref="A1:E1"/>
  </mergeCells>
  <phoneticPr fontId="2" type="noConversion"/>
  <hyperlinks>
    <hyperlink ref="A1:E1" location="ziekenwagen" display="Terug naar invulluik" xr:uid="{00000000-0004-0000-0500-000000000000}"/>
  </hyperlinks>
  <pageMargins left="0" right="0" top="0.59055118110236227" bottom="0.39370078740157483" header="0.31496062992125984" footer="0.11811023622047245"/>
  <pageSetup paperSize="8" orientation="landscape" r:id="rId1"/>
  <headerFooter alignWithMargins="0">
    <oddHeader>&amp;C&amp;"Arial,Bold"&amp;14ZIEKENWAGENDIENSTEN PROVINCIE ANTWERPEN</oddHeader>
    <oddFooter>&amp;R&amp;8FOD Volksgezondheid - ICM</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25">
    <tabColor indexed="10"/>
  </sheetPr>
  <dimension ref="A1:K170"/>
  <sheetViews>
    <sheetView topLeftCell="A4" zoomScale="75" workbookViewId="0">
      <selection activeCell="A16" sqref="A16:IV16"/>
    </sheetView>
  </sheetViews>
  <sheetFormatPr defaultColWidth="9.1796875" defaultRowHeight="10.5" x14ac:dyDescent="0.25"/>
  <cols>
    <col min="1" max="1" width="12.26953125" style="911" customWidth="1"/>
    <col min="2" max="2" width="27.453125" style="911" bestFit="1" customWidth="1"/>
    <col min="3" max="3" width="73.81640625" style="912" bestFit="1" customWidth="1"/>
    <col min="4" max="4" width="51.54296875" style="912" bestFit="1" customWidth="1"/>
    <col min="5" max="5" width="20.26953125" style="922" bestFit="1" customWidth="1"/>
    <col min="6" max="6" width="20.453125" style="911" customWidth="1"/>
    <col min="7" max="7" width="33.26953125" style="912" customWidth="1"/>
    <col min="8" max="8" width="34.1796875" style="912" bestFit="1" customWidth="1"/>
    <col min="9" max="9" width="12.26953125" style="913" customWidth="1"/>
    <col min="10" max="10" width="20.453125" style="911" customWidth="1"/>
    <col min="11" max="11" width="33.26953125" style="912" customWidth="1"/>
    <col min="12" max="16384" width="9.1796875" style="912"/>
  </cols>
  <sheetData>
    <row r="1" spans="1:11" ht="25.5" thickBot="1" x14ac:dyDescent="0.3">
      <c r="A1" s="1484" t="s">
        <v>829</v>
      </c>
      <c r="B1" s="1485"/>
      <c r="C1" s="1485"/>
      <c r="D1" s="1485"/>
      <c r="E1" s="1486"/>
    </row>
    <row r="2" spans="1:11" ht="18" x14ac:dyDescent="0.4">
      <c r="A2" s="1487" t="s">
        <v>1988</v>
      </c>
      <c r="B2" s="1488"/>
      <c r="C2" s="1488"/>
      <c r="D2" s="1488"/>
      <c r="E2" s="1488"/>
      <c r="F2" s="914"/>
      <c r="G2" s="914"/>
      <c r="H2" s="915"/>
      <c r="I2" s="914"/>
      <c r="J2" s="914"/>
      <c r="K2" s="914"/>
    </row>
    <row r="3" spans="1:11" s="918" customFormat="1" ht="28" x14ac:dyDescent="0.25">
      <c r="A3" s="942" t="s">
        <v>1419</v>
      </c>
      <c r="B3" s="917" t="s">
        <v>1989</v>
      </c>
      <c r="C3" s="916" t="s">
        <v>1990</v>
      </c>
      <c r="D3" s="916" t="s">
        <v>652</v>
      </c>
      <c r="E3" s="916" t="s">
        <v>828</v>
      </c>
      <c r="G3" s="919"/>
      <c r="J3" s="919"/>
    </row>
    <row r="4" spans="1:11" s="828" customFormat="1" ht="15.5" x14ac:dyDescent="0.35">
      <c r="A4" s="946">
        <v>2170</v>
      </c>
      <c r="B4" s="904" t="s">
        <v>1081</v>
      </c>
      <c r="C4" s="920" t="s">
        <v>1992</v>
      </c>
      <c r="D4" s="921" t="s">
        <v>1993</v>
      </c>
      <c r="E4" s="904" t="s">
        <v>1991</v>
      </c>
      <c r="I4" s="947"/>
      <c r="J4" s="427"/>
    </row>
    <row r="5" spans="1:11" s="828" customFormat="1" ht="15.5" x14ac:dyDescent="0.35">
      <c r="A5" s="946">
        <v>2060</v>
      </c>
      <c r="B5" s="904" t="s">
        <v>1991</v>
      </c>
      <c r="C5" s="920" t="s">
        <v>1994</v>
      </c>
      <c r="D5" s="921" t="s">
        <v>1995</v>
      </c>
      <c r="E5" s="904" t="s">
        <v>1991</v>
      </c>
      <c r="I5" s="947"/>
      <c r="J5" s="948"/>
    </row>
    <row r="6" spans="1:11" s="828" customFormat="1" ht="15.5" x14ac:dyDescent="0.35">
      <c r="A6" s="946">
        <v>2020</v>
      </c>
      <c r="B6" s="904" t="s">
        <v>1991</v>
      </c>
      <c r="C6" s="921" t="s">
        <v>1996</v>
      </c>
      <c r="D6" s="921" t="s">
        <v>1997</v>
      </c>
      <c r="E6" s="904" t="s">
        <v>1991</v>
      </c>
      <c r="I6" s="947"/>
      <c r="J6" s="949"/>
    </row>
    <row r="7" spans="1:11" s="828" customFormat="1" ht="15.5" x14ac:dyDescent="0.35">
      <c r="A7" s="946">
        <v>2100</v>
      </c>
      <c r="B7" s="904" t="s">
        <v>964</v>
      </c>
      <c r="C7" s="921" t="s">
        <v>1998</v>
      </c>
      <c r="D7" s="921" t="s">
        <v>1999</v>
      </c>
      <c r="E7" s="904" t="s">
        <v>1991</v>
      </c>
      <c r="I7" s="947"/>
    </row>
    <row r="8" spans="1:11" s="828" customFormat="1" ht="15.5" x14ac:dyDescent="0.35">
      <c r="A8" s="946">
        <v>2018</v>
      </c>
      <c r="B8" s="904" t="s">
        <v>1991</v>
      </c>
      <c r="C8" s="921" t="s">
        <v>2002</v>
      </c>
      <c r="D8" s="921" t="s">
        <v>2003</v>
      </c>
      <c r="E8" s="904" t="s">
        <v>1991</v>
      </c>
      <c r="I8" s="947"/>
      <c r="J8" s="950"/>
    </row>
    <row r="9" spans="1:11" s="828" customFormat="1" ht="15.5" x14ac:dyDescent="0.35">
      <c r="A9" s="946">
        <v>2820</v>
      </c>
      <c r="B9" s="904" t="s">
        <v>2004</v>
      </c>
      <c r="C9" s="921" t="s">
        <v>2005</v>
      </c>
      <c r="D9" s="921" t="s">
        <v>2006</v>
      </c>
      <c r="E9" s="904" t="s">
        <v>1991</v>
      </c>
      <c r="I9" s="947"/>
    </row>
    <row r="10" spans="1:11" s="828" customFormat="1" ht="15.5" x14ac:dyDescent="0.35">
      <c r="A10" s="946">
        <v>2930</v>
      </c>
      <c r="B10" s="904" t="s">
        <v>2007</v>
      </c>
      <c r="C10" s="921" t="s">
        <v>2008</v>
      </c>
      <c r="D10" s="921" t="s">
        <v>2009</v>
      </c>
      <c r="E10" s="904" t="s">
        <v>1991</v>
      </c>
      <c r="I10" s="947"/>
      <c r="J10" s="948"/>
    </row>
    <row r="11" spans="1:11" s="828" customFormat="1" ht="15.5" x14ac:dyDescent="0.35">
      <c r="A11" s="946">
        <v>2650</v>
      </c>
      <c r="B11" s="904" t="s">
        <v>2010</v>
      </c>
      <c r="C11" s="921" t="s">
        <v>2011</v>
      </c>
      <c r="D11" s="921" t="s">
        <v>2012</v>
      </c>
      <c r="E11" s="904" t="s">
        <v>1991</v>
      </c>
      <c r="I11" s="947"/>
    </row>
    <row r="12" spans="1:11" s="828" customFormat="1" ht="15.5" x14ac:dyDescent="0.35">
      <c r="A12" s="946">
        <v>2440</v>
      </c>
      <c r="B12" s="904" t="s">
        <v>2016</v>
      </c>
      <c r="C12" s="921" t="s">
        <v>2017</v>
      </c>
      <c r="D12" s="921" t="s">
        <v>2018</v>
      </c>
      <c r="E12" s="904" t="s">
        <v>1991</v>
      </c>
      <c r="I12" s="947"/>
      <c r="J12" s="950"/>
    </row>
    <row r="13" spans="1:11" s="828" customFormat="1" ht="15.5" x14ac:dyDescent="0.35">
      <c r="A13" s="946">
        <v>2200</v>
      </c>
      <c r="B13" s="904" t="s">
        <v>2019</v>
      </c>
      <c r="C13" s="921" t="s">
        <v>2020</v>
      </c>
      <c r="D13" s="921" t="s">
        <v>2021</v>
      </c>
      <c r="E13" s="904" t="s">
        <v>1991</v>
      </c>
      <c r="I13" s="947"/>
    </row>
    <row r="14" spans="1:11" s="828" customFormat="1" ht="15.5" x14ac:dyDescent="0.35">
      <c r="A14" s="946">
        <v>2500</v>
      </c>
      <c r="B14" s="904" t="s">
        <v>302</v>
      </c>
      <c r="C14" s="921" t="s">
        <v>303</v>
      </c>
      <c r="D14" s="921" t="s">
        <v>304</v>
      </c>
      <c r="E14" s="904" t="s">
        <v>1991</v>
      </c>
      <c r="I14" s="947"/>
      <c r="J14" s="950"/>
    </row>
    <row r="15" spans="1:11" s="828" customFormat="1" ht="15.5" x14ac:dyDescent="0.35">
      <c r="A15" s="946">
        <v>2390</v>
      </c>
      <c r="B15" s="904" t="s">
        <v>306</v>
      </c>
      <c r="C15" s="920" t="s">
        <v>2014</v>
      </c>
      <c r="D15" s="921" t="s">
        <v>2206</v>
      </c>
      <c r="E15" s="904" t="s">
        <v>1991</v>
      </c>
      <c r="I15" s="947"/>
      <c r="J15" s="950"/>
    </row>
    <row r="16" spans="1:11" s="828" customFormat="1" ht="15.5" x14ac:dyDescent="0.35">
      <c r="A16" s="946">
        <v>2800</v>
      </c>
      <c r="B16" s="904" t="s">
        <v>2208</v>
      </c>
      <c r="C16" s="921" t="s">
        <v>2209</v>
      </c>
      <c r="D16" s="921" t="s">
        <v>2210</v>
      </c>
      <c r="E16" s="904" t="s">
        <v>1991</v>
      </c>
      <c r="I16" s="947"/>
    </row>
    <row r="17" spans="1:11" s="828" customFormat="1" ht="15.5" x14ac:dyDescent="0.35">
      <c r="A17" s="946">
        <v>2300</v>
      </c>
      <c r="B17" s="904" t="s">
        <v>2212</v>
      </c>
      <c r="C17" s="921" t="s">
        <v>2020</v>
      </c>
      <c r="D17" s="921" t="s">
        <v>2213</v>
      </c>
      <c r="E17" s="904" t="s">
        <v>1991</v>
      </c>
      <c r="I17" s="947"/>
    </row>
    <row r="18" spans="1:11" s="828" customFormat="1" ht="15.5" x14ac:dyDescent="0.35">
      <c r="A18" s="946">
        <v>2610</v>
      </c>
      <c r="B18" s="904" t="s">
        <v>2215</v>
      </c>
      <c r="C18" s="904" t="s">
        <v>2023</v>
      </c>
      <c r="D18" s="923" t="s">
        <v>2024</v>
      </c>
      <c r="E18" s="904" t="s">
        <v>1991</v>
      </c>
      <c r="I18" s="947"/>
      <c r="J18" s="950"/>
    </row>
    <row r="19" spans="1:11" s="828" customFormat="1" ht="15.5" x14ac:dyDescent="0.35">
      <c r="A19" s="951" t="s">
        <v>349</v>
      </c>
      <c r="B19" s="952" t="s">
        <v>966</v>
      </c>
      <c r="C19" s="952" t="s">
        <v>1859</v>
      </c>
      <c r="D19" s="952" t="s">
        <v>1584</v>
      </c>
      <c r="E19" s="952" t="s">
        <v>1856</v>
      </c>
      <c r="F19" s="427"/>
      <c r="I19" s="947"/>
      <c r="J19" s="949"/>
    </row>
    <row r="20" spans="1:11" s="828" customFormat="1" ht="15.5" x14ac:dyDescent="0.35">
      <c r="A20" s="951" t="s">
        <v>349</v>
      </c>
      <c r="B20" s="952" t="s">
        <v>966</v>
      </c>
      <c r="C20" s="952" t="s">
        <v>1420</v>
      </c>
      <c r="D20" s="952" t="s">
        <v>1858</v>
      </c>
      <c r="E20" s="952" t="s">
        <v>1856</v>
      </c>
      <c r="F20" s="427"/>
      <c r="I20" s="947"/>
    </row>
    <row r="21" spans="1:11" s="828" customFormat="1" ht="15.5" x14ac:dyDescent="0.35">
      <c r="A21" s="951" t="s">
        <v>349</v>
      </c>
      <c r="B21" s="952" t="s">
        <v>966</v>
      </c>
      <c r="C21" s="952" t="s">
        <v>1860</v>
      </c>
      <c r="D21" s="952" t="s">
        <v>1861</v>
      </c>
      <c r="E21" s="952" t="s">
        <v>1856</v>
      </c>
      <c r="F21" s="427"/>
      <c r="I21" s="947"/>
    </row>
    <row r="22" spans="1:11" s="828" customFormat="1" ht="15.5" x14ac:dyDescent="0.35">
      <c r="A22" s="951" t="s">
        <v>1862</v>
      </c>
      <c r="B22" s="952" t="s">
        <v>1863</v>
      </c>
      <c r="C22" s="952" t="s">
        <v>1864</v>
      </c>
      <c r="D22" s="952" t="s">
        <v>1794</v>
      </c>
      <c r="E22" s="952" t="s">
        <v>1856</v>
      </c>
      <c r="F22" s="427"/>
      <c r="I22" s="947"/>
    </row>
    <row r="23" spans="1:11" s="828" customFormat="1" ht="15.5" x14ac:dyDescent="0.35">
      <c r="A23" s="951" t="s">
        <v>1868</v>
      </c>
      <c r="B23" s="952" t="s">
        <v>993</v>
      </c>
      <c r="C23" s="952" t="s">
        <v>1869</v>
      </c>
      <c r="D23" s="952" t="s">
        <v>1870</v>
      </c>
      <c r="E23" s="952" t="s">
        <v>1856</v>
      </c>
      <c r="F23" s="427"/>
      <c r="I23" s="947"/>
    </row>
    <row r="24" spans="1:11" s="828" customFormat="1" ht="15.5" x14ac:dyDescent="0.35">
      <c r="A24" s="951" t="s">
        <v>1871</v>
      </c>
      <c r="B24" s="952" t="s">
        <v>990</v>
      </c>
      <c r="C24" s="952" t="s">
        <v>1421</v>
      </c>
      <c r="D24" s="952" t="s">
        <v>1873</v>
      </c>
      <c r="E24" s="952" t="s">
        <v>1856</v>
      </c>
      <c r="F24" s="427"/>
      <c r="I24" s="947"/>
      <c r="K24" s="953"/>
    </row>
    <row r="25" spans="1:11" s="828" customFormat="1" ht="15.5" x14ac:dyDescent="0.35">
      <c r="A25" s="951" t="s">
        <v>1871</v>
      </c>
      <c r="B25" s="952" t="s">
        <v>990</v>
      </c>
      <c r="C25" s="952" t="s">
        <v>1874</v>
      </c>
      <c r="D25" s="952" t="s">
        <v>1875</v>
      </c>
      <c r="E25" s="952" t="s">
        <v>1856</v>
      </c>
      <c r="F25" s="427"/>
      <c r="I25" s="947"/>
      <c r="J25" s="950"/>
    </row>
    <row r="26" spans="1:11" s="828" customFormat="1" ht="15.5" x14ac:dyDescent="0.35">
      <c r="A26" s="951" t="s">
        <v>1876</v>
      </c>
      <c r="B26" s="952" t="s">
        <v>1727</v>
      </c>
      <c r="C26" s="952" t="s">
        <v>1422</v>
      </c>
      <c r="D26" s="952" t="s">
        <v>1878</v>
      </c>
      <c r="E26" s="952" t="s">
        <v>1856</v>
      </c>
      <c r="F26" s="427"/>
      <c r="I26" s="947"/>
    </row>
    <row r="27" spans="1:11" s="828" customFormat="1" ht="15.5" x14ac:dyDescent="0.35">
      <c r="A27" s="951" t="s">
        <v>1879</v>
      </c>
      <c r="B27" s="952" t="s">
        <v>1796</v>
      </c>
      <c r="C27" s="952" t="s">
        <v>1423</v>
      </c>
      <c r="D27" s="952" t="s">
        <v>1880</v>
      </c>
      <c r="E27" s="952" t="s">
        <v>1856</v>
      </c>
      <c r="F27" s="427"/>
      <c r="I27" s="947"/>
    </row>
    <row r="28" spans="1:11" s="828" customFormat="1" ht="15.5" x14ac:dyDescent="0.35">
      <c r="A28" s="951" t="s">
        <v>1881</v>
      </c>
      <c r="B28" s="952" t="s">
        <v>972</v>
      </c>
      <c r="C28" s="952" t="s">
        <v>1882</v>
      </c>
      <c r="D28" s="952" t="s">
        <v>1883</v>
      </c>
      <c r="E28" s="952" t="s">
        <v>1856</v>
      </c>
      <c r="F28" s="427"/>
      <c r="I28" s="947"/>
    </row>
    <row r="29" spans="1:11" s="828" customFormat="1" ht="15.5" x14ac:dyDescent="0.35">
      <c r="A29" s="951" t="s">
        <v>1886</v>
      </c>
      <c r="B29" s="952" t="s">
        <v>1585</v>
      </c>
      <c r="C29" s="952" t="s">
        <v>1887</v>
      </c>
      <c r="D29" s="952" t="s">
        <v>1888</v>
      </c>
      <c r="E29" s="952" t="s">
        <v>1856</v>
      </c>
      <c r="F29" s="427"/>
      <c r="I29" s="947"/>
    </row>
    <row r="30" spans="1:11" s="828" customFormat="1" ht="15.5" x14ac:dyDescent="0.35">
      <c r="A30" s="951" t="s">
        <v>613</v>
      </c>
      <c r="B30" s="952" t="s">
        <v>1184</v>
      </c>
      <c r="C30" s="952" t="s">
        <v>1424</v>
      </c>
      <c r="D30" s="952" t="s">
        <v>615</v>
      </c>
      <c r="E30" s="952" t="s">
        <v>616</v>
      </c>
      <c r="F30" s="427"/>
      <c r="I30" s="947"/>
      <c r="J30" s="949"/>
    </row>
    <row r="31" spans="1:11" s="828" customFormat="1" ht="15.5" x14ac:dyDescent="0.35">
      <c r="A31" s="951" t="s">
        <v>617</v>
      </c>
      <c r="B31" s="952" t="s">
        <v>1359</v>
      </c>
      <c r="C31" s="952" t="s">
        <v>618</v>
      </c>
      <c r="D31" s="952" t="s">
        <v>619</v>
      </c>
      <c r="E31" s="952" t="s">
        <v>616</v>
      </c>
      <c r="F31" s="427"/>
      <c r="I31" s="947"/>
      <c r="J31" s="427"/>
    </row>
    <row r="32" spans="1:11" s="828" customFormat="1" ht="15.5" x14ac:dyDescent="0.35">
      <c r="A32" s="951" t="s">
        <v>1425</v>
      </c>
      <c r="B32" s="952" t="s">
        <v>1202</v>
      </c>
      <c r="C32" s="952" t="s">
        <v>618</v>
      </c>
      <c r="D32" s="952" t="s">
        <v>1426</v>
      </c>
      <c r="E32" s="952" t="s">
        <v>616</v>
      </c>
      <c r="F32" s="427"/>
      <c r="I32" s="947"/>
      <c r="J32" s="427"/>
    </row>
    <row r="33" spans="1:10" s="828" customFormat="1" ht="15.5" x14ac:dyDescent="0.35">
      <c r="A33" s="951" t="s">
        <v>623</v>
      </c>
      <c r="B33" s="952" t="s">
        <v>531</v>
      </c>
      <c r="C33" s="952" t="s">
        <v>1427</v>
      </c>
      <c r="D33" s="952" t="s">
        <v>1428</v>
      </c>
      <c r="E33" s="952" t="s">
        <v>616</v>
      </c>
      <c r="F33" s="948"/>
      <c r="I33" s="947"/>
      <c r="J33" s="427"/>
    </row>
    <row r="34" spans="1:10" s="828" customFormat="1" ht="15.5" x14ac:dyDescent="0.35">
      <c r="A34" s="951" t="s">
        <v>623</v>
      </c>
      <c r="B34" s="952" t="s">
        <v>531</v>
      </c>
      <c r="C34" s="952" t="s">
        <v>624</v>
      </c>
      <c r="D34" s="952" t="s">
        <v>1429</v>
      </c>
      <c r="E34" s="952" t="s">
        <v>616</v>
      </c>
      <c r="F34" s="427"/>
      <c r="I34" s="947"/>
      <c r="J34" s="427"/>
    </row>
    <row r="35" spans="1:10" s="828" customFormat="1" ht="15.5" x14ac:dyDescent="0.35">
      <c r="A35" s="951" t="s">
        <v>626</v>
      </c>
      <c r="B35" s="952" t="s">
        <v>1187</v>
      </c>
      <c r="C35" s="952" t="s">
        <v>627</v>
      </c>
      <c r="D35" s="952" t="s">
        <v>1430</v>
      </c>
      <c r="E35" s="952" t="s">
        <v>616</v>
      </c>
      <c r="F35" s="427"/>
      <c r="I35" s="947"/>
      <c r="J35" s="427"/>
    </row>
    <row r="36" spans="1:10" s="828" customFormat="1" ht="15.5" x14ac:dyDescent="0.35">
      <c r="A36" s="951" t="s">
        <v>629</v>
      </c>
      <c r="B36" s="952" t="s">
        <v>774</v>
      </c>
      <c r="C36" s="952" t="s">
        <v>329</v>
      </c>
      <c r="D36" s="952" t="s">
        <v>330</v>
      </c>
      <c r="E36" s="952" t="s">
        <v>616</v>
      </c>
      <c r="F36" s="427"/>
      <c r="I36" s="947"/>
      <c r="J36" s="427"/>
    </row>
    <row r="37" spans="1:10" s="828" customFormat="1" ht="15.5" x14ac:dyDescent="0.35">
      <c r="A37" s="951" t="s">
        <v>331</v>
      </c>
      <c r="B37" s="952" t="s">
        <v>1337</v>
      </c>
      <c r="C37" s="952" t="s">
        <v>332</v>
      </c>
      <c r="D37" s="952" t="s">
        <v>333</v>
      </c>
      <c r="E37" s="952" t="s">
        <v>616</v>
      </c>
      <c r="F37" s="427"/>
      <c r="I37" s="947"/>
      <c r="J37" s="427"/>
    </row>
    <row r="38" spans="1:10" s="828" customFormat="1" ht="15.5" x14ac:dyDescent="0.35">
      <c r="A38" s="951" t="s">
        <v>336</v>
      </c>
      <c r="B38" s="952" t="s">
        <v>1340</v>
      </c>
      <c r="C38" s="952" t="s">
        <v>337</v>
      </c>
      <c r="D38" s="952" t="s">
        <v>338</v>
      </c>
      <c r="E38" s="952" t="s">
        <v>616</v>
      </c>
      <c r="F38" s="427"/>
      <c r="I38" s="947"/>
      <c r="J38" s="427"/>
    </row>
    <row r="39" spans="1:10" s="828" customFormat="1" ht="15.5" x14ac:dyDescent="0.35">
      <c r="A39" s="951" t="s">
        <v>336</v>
      </c>
      <c r="B39" s="952" t="s">
        <v>1340</v>
      </c>
      <c r="C39" s="952" t="s">
        <v>1431</v>
      </c>
      <c r="D39" s="952" t="s">
        <v>340</v>
      </c>
      <c r="E39" s="952" t="s">
        <v>616</v>
      </c>
      <c r="F39" s="427"/>
      <c r="I39" s="947"/>
      <c r="J39" s="427"/>
    </row>
    <row r="40" spans="1:10" s="828" customFormat="1" ht="15.5" x14ac:dyDescent="0.35">
      <c r="A40" s="951" t="s">
        <v>341</v>
      </c>
      <c r="B40" s="952" t="s">
        <v>1353</v>
      </c>
      <c r="C40" s="952" t="s">
        <v>1432</v>
      </c>
      <c r="D40" s="952" t="s">
        <v>343</v>
      </c>
      <c r="E40" s="952" t="s">
        <v>616</v>
      </c>
      <c r="F40" s="427"/>
      <c r="I40" s="947"/>
      <c r="J40" s="427"/>
    </row>
    <row r="41" spans="1:10" s="828" customFormat="1" ht="15.5" x14ac:dyDescent="0.35">
      <c r="A41" s="951" t="s">
        <v>347</v>
      </c>
      <c r="B41" s="952" t="s">
        <v>818</v>
      </c>
      <c r="C41" s="952" t="s">
        <v>1675</v>
      </c>
      <c r="D41" s="952" t="s">
        <v>820</v>
      </c>
      <c r="E41" s="952" t="s">
        <v>616</v>
      </c>
      <c r="F41" s="427"/>
      <c r="I41" s="947"/>
      <c r="J41" s="427"/>
    </row>
    <row r="42" spans="1:10" s="828" customFormat="1" ht="15.5" x14ac:dyDescent="0.35">
      <c r="A42" s="951" t="s">
        <v>1676</v>
      </c>
      <c r="B42" s="952" t="s">
        <v>1356</v>
      </c>
      <c r="C42" s="952" t="s">
        <v>1431</v>
      </c>
      <c r="D42" s="952" t="s">
        <v>1677</v>
      </c>
      <c r="E42" s="952" t="s">
        <v>616</v>
      </c>
      <c r="F42" s="427"/>
      <c r="I42" s="947"/>
      <c r="J42" s="427"/>
    </row>
    <row r="43" spans="1:10" s="828" customFormat="1" ht="15.5" x14ac:dyDescent="0.35">
      <c r="A43" s="951" t="s">
        <v>605</v>
      </c>
      <c r="B43" s="952" t="s">
        <v>606</v>
      </c>
      <c r="C43" s="952" t="s">
        <v>607</v>
      </c>
      <c r="D43" s="952" t="s">
        <v>608</v>
      </c>
      <c r="E43" s="952" t="s">
        <v>908</v>
      </c>
      <c r="F43" s="427"/>
      <c r="I43" s="947"/>
      <c r="J43" s="427"/>
    </row>
    <row r="44" spans="1:10" s="828" customFormat="1" ht="15.5" x14ac:dyDescent="0.35">
      <c r="A44" s="951" t="s">
        <v>599</v>
      </c>
      <c r="B44" s="952" t="s">
        <v>1252</v>
      </c>
      <c r="C44" s="952" t="s">
        <v>1678</v>
      </c>
      <c r="D44" s="952" t="s">
        <v>907</v>
      </c>
      <c r="E44" s="952" t="s">
        <v>908</v>
      </c>
      <c r="F44" s="427"/>
      <c r="I44" s="947"/>
      <c r="J44" s="427"/>
    </row>
    <row r="45" spans="1:10" s="828" customFormat="1" ht="15.5" x14ac:dyDescent="0.35">
      <c r="A45" s="951" t="s">
        <v>599</v>
      </c>
      <c r="B45" s="952" t="s">
        <v>1252</v>
      </c>
      <c r="C45" s="952" t="s">
        <v>909</v>
      </c>
      <c r="D45" s="952" t="s">
        <v>1254</v>
      </c>
      <c r="E45" s="952" t="s">
        <v>908</v>
      </c>
      <c r="F45" s="427"/>
      <c r="I45" s="947"/>
      <c r="J45" s="948"/>
    </row>
    <row r="46" spans="1:10" s="828" customFormat="1" ht="15.5" x14ac:dyDescent="0.35">
      <c r="A46" s="951" t="s">
        <v>910</v>
      </c>
      <c r="B46" s="952" t="s">
        <v>911</v>
      </c>
      <c r="C46" s="952" t="s">
        <v>912</v>
      </c>
      <c r="D46" s="952" t="s">
        <v>913</v>
      </c>
      <c r="E46" s="952" t="s">
        <v>908</v>
      </c>
      <c r="F46" s="427"/>
      <c r="I46" s="947"/>
      <c r="J46" s="427"/>
    </row>
    <row r="47" spans="1:10" s="828" customFormat="1" ht="15.5" x14ac:dyDescent="0.35">
      <c r="A47" s="951" t="s">
        <v>914</v>
      </c>
      <c r="B47" s="952" t="s">
        <v>1261</v>
      </c>
      <c r="C47" s="952" t="s">
        <v>915</v>
      </c>
      <c r="D47" s="952" t="s">
        <v>1264</v>
      </c>
      <c r="E47" s="952" t="s">
        <v>908</v>
      </c>
      <c r="F47" s="427"/>
      <c r="I47" s="947"/>
      <c r="J47" s="427"/>
    </row>
    <row r="48" spans="1:10" s="828" customFormat="1" ht="15.5" x14ac:dyDescent="0.35">
      <c r="A48" s="951" t="s">
        <v>916</v>
      </c>
      <c r="B48" s="952" t="s">
        <v>925</v>
      </c>
      <c r="C48" s="952" t="s">
        <v>1679</v>
      </c>
      <c r="D48" s="952" t="s">
        <v>918</v>
      </c>
      <c r="E48" s="952" t="s">
        <v>908</v>
      </c>
      <c r="F48" s="427"/>
      <c r="I48" s="947"/>
      <c r="J48" s="427"/>
    </row>
    <row r="49" spans="1:10" s="828" customFormat="1" ht="15.5" x14ac:dyDescent="0.35">
      <c r="A49" s="951" t="s">
        <v>919</v>
      </c>
      <c r="B49" s="952" t="s">
        <v>931</v>
      </c>
      <c r="C49" s="952" t="s">
        <v>603</v>
      </c>
      <c r="D49" s="952" t="s">
        <v>604</v>
      </c>
      <c r="E49" s="952" t="s">
        <v>908</v>
      </c>
      <c r="F49" s="427"/>
      <c r="I49" s="947"/>
      <c r="J49" s="427"/>
    </row>
    <row r="50" spans="1:10" s="828" customFormat="1" ht="15.5" x14ac:dyDescent="0.35">
      <c r="A50" s="954" t="s">
        <v>609</v>
      </c>
      <c r="B50" s="952" t="s">
        <v>610</v>
      </c>
      <c r="C50" s="952" t="s">
        <v>2040</v>
      </c>
      <c r="D50" s="952" t="s">
        <v>612</v>
      </c>
      <c r="E50" s="952" t="s">
        <v>908</v>
      </c>
      <c r="F50" s="427"/>
      <c r="I50" s="947"/>
      <c r="J50" s="427"/>
    </row>
    <row r="51" spans="1:10" s="828" customFormat="1" ht="15.5" x14ac:dyDescent="0.35">
      <c r="A51" s="951" t="s">
        <v>588</v>
      </c>
      <c r="B51" s="952" t="s">
        <v>794</v>
      </c>
      <c r="C51" s="952" t="s">
        <v>591</v>
      </c>
      <c r="D51" s="952" t="s">
        <v>592</v>
      </c>
      <c r="E51" s="952" t="s">
        <v>2041</v>
      </c>
      <c r="F51" s="427"/>
      <c r="I51" s="947"/>
      <c r="J51" s="427"/>
    </row>
    <row r="52" spans="1:10" s="828" customFormat="1" ht="15.5" x14ac:dyDescent="0.35">
      <c r="A52" s="951" t="s">
        <v>584</v>
      </c>
      <c r="B52" s="952" t="s">
        <v>1042</v>
      </c>
      <c r="C52" s="952" t="s">
        <v>585</v>
      </c>
      <c r="D52" s="952" t="s">
        <v>586</v>
      </c>
      <c r="E52" s="952" t="s">
        <v>2041</v>
      </c>
      <c r="F52" s="948"/>
      <c r="I52" s="947"/>
      <c r="J52" s="427"/>
    </row>
    <row r="53" spans="1:10" s="828" customFormat="1" ht="15.5" x14ac:dyDescent="0.35">
      <c r="A53" s="951" t="s">
        <v>596</v>
      </c>
      <c r="B53" s="952" t="s">
        <v>1036</v>
      </c>
      <c r="C53" s="952" t="s">
        <v>2042</v>
      </c>
      <c r="D53" s="952" t="s">
        <v>598</v>
      </c>
      <c r="E53" s="952" t="s">
        <v>2041</v>
      </c>
      <c r="F53" s="427"/>
      <c r="I53" s="947"/>
      <c r="J53" s="427"/>
    </row>
    <row r="54" spans="1:10" s="828" customFormat="1" ht="15.5" x14ac:dyDescent="0.35">
      <c r="A54" s="951" t="s">
        <v>593</v>
      </c>
      <c r="B54" s="952" t="s">
        <v>1045</v>
      </c>
      <c r="C54" s="952" t="s">
        <v>594</v>
      </c>
      <c r="D54" s="952" t="s">
        <v>595</v>
      </c>
      <c r="E54" s="952" t="s">
        <v>2041</v>
      </c>
      <c r="F54" s="427"/>
      <c r="I54" s="947"/>
      <c r="J54" s="427"/>
    </row>
    <row r="55" spans="1:10" s="828" customFormat="1" ht="15.5" x14ac:dyDescent="0.35">
      <c r="A55" s="951" t="s">
        <v>2043</v>
      </c>
      <c r="B55" s="952" t="s">
        <v>2044</v>
      </c>
      <c r="C55" s="952" t="s">
        <v>21</v>
      </c>
      <c r="D55" s="952" t="s">
        <v>2045</v>
      </c>
      <c r="E55" s="952" t="s">
        <v>2046</v>
      </c>
      <c r="F55" s="427"/>
      <c r="I55" s="947"/>
      <c r="J55" s="427"/>
    </row>
    <row r="56" spans="1:10" s="828" customFormat="1" ht="15.5" x14ac:dyDescent="0.35">
      <c r="A56" s="951" t="s">
        <v>29</v>
      </c>
      <c r="B56" s="952" t="s">
        <v>30</v>
      </c>
      <c r="C56" s="952" t="s">
        <v>2047</v>
      </c>
      <c r="D56" s="952" t="s">
        <v>32</v>
      </c>
      <c r="E56" s="952" t="s">
        <v>2046</v>
      </c>
      <c r="F56" s="427"/>
      <c r="I56" s="947"/>
      <c r="J56" s="427"/>
    </row>
    <row r="57" spans="1:10" s="828" customFormat="1" ht="15.5" x14ac:dyDescent="0.35">
      <c r="A57" s="951" t="s">
        <v>1753</v>
      </c>
      <c r="B57" s="952" t="s">
        <v>16</v>
      </c>
      <c r="C57" s="952" t="s">
        <v>2048</v>
      </c>
      <c r="D57" s="952" t="s">
        <v>18</v>
      </c>
      <c r="E57" s="952" t="s">
        <v>2046</v>
      </c>
      <c r="F57" s="427"/>
      <c r="I57" s="947"/>
      <c r="J57" s="427"/>
    </row>
    <row r="58" spans="1:10" s="828" customFormat="1" ht="15.5" x14ac:dyDescent="0.35">
      <c r="A58" s="951" t="s">
        <v>576</v>
      </c>
      <c r="B58" s="952" t="s">
        <v>577</v>
      </c>
      <c r="C58" s="952" t="s">
        <v>2049</v>
      </c>
      <c r="D58" s="952" t="s">
        <v>579</v>
      </c>
      <c r="E58" s="952" t="s">
        <v>2046</v>
      </c>
      <c r="F58" s="955"/>
      <c r="G58" s="953"/>
      <c r="I58" s="947"/>
      <c r="J58" s="427"/>
    </row>
    <row r="59" spans="1:10" s="828" customFormat="1" ht="15.5" x14ac:dyDescent="0.35">
      <c r="A59" s="951" t="s">
        <v>569</v>
      </c>
      <c r="B59" s="952" t="s">
        <v>570</v>
      </c>
      <c r="C59" s="952" t="s">
        <v>571</v>
      </c>
      <c r="D59" s="952" t="s">
        <v>572</v>
      </c>
      <c r="E59" s="952" t="s">
        <v>2046</v>
      </c>
      <c r="F59" s="948"/>
      <c r="I59" s="947"/>
      <c r="J59" s="427"/>
    </row>
    <row r="60" spans="1:10" s="828" customFormat="1" ht="15.5" x14ac:dyDescent="0.35">
      <c r="A60" s="951" t="s">
        <v>565</v>
      </c>
      <c r="B60" s="952" t="s">
        <v>566</v>
      </c>
      <c r="C60" s="952" t="s">
        <v>567</v>
      </c>
      <c r="D60" s="952" t="s">
        <v>568</v>
      </c>
      <c r="E60" s="952" t="s">
        <v>2046</v>
      </c>
      <c r="F60" s="427"/>
      <c r="I60" s="947"/>
      <c r="J60" s="427"/>
    </row>
    <row r="61" spans="1:10" s="828" customFormat="1" ht="15.5" x14ac:dyDescent="0.35">
      <c r="A61" s="951" t="s">
        <v>1889</v>
      </c>
      <c r="B61" s="952" t="s">
        <v>1890</v>
      </c>
      <c r="C61" s="952" t="s">
        <v>93</v>
      </c>
      <c r="D61" s="952" t="s">
        <v>94</v>
      </c>
      <c r="E61" s="952" t="s">
        <v>95</v>
      </c>
      <c r="F61" s="427"/>
      <c r="I61" s="947"/>
      <c r="J61" s="427"/>
    </row>
    <row r="62" spans="1:10" s="828" customFormat="1" ht="15.5" x14ac:dyDescent="0.35">
      <c r="A62" s="951" t="s">
        <v>96</v>
      </c>
      <c r="B62" s="952" t="s">
        <v>680</v>
      </c>
      <c r="C62" s="952" t="s">
        <v>2050</v>
      </c>
      <c r="D62" s="952" t="s">
        <v>98</v>
      </c>
      <c r="E62" s="952" t="s">
        <v>95</v>
      </c>
      <c r="F62" s="427"/>
      <c r="I62" s="947"/>
      <c r="J62" s="427"/>
    </row>
    <row r="63" spans="1:10" s="828" customFormat="1" ht="15.5" x14ac:dyDescent="0.35">
      <c r="A63" s="951" t="s">
        <v>2051</v>
      </c>
      <c r="B63" s="952" t="s">
        <v>2052</v>
      </c>
      <c r="C63" s="952" t="s">
        <v>2053</v>
      </c>
      <c r="D63" s="952" t="s">
        <v>2054</v>
      </c>
      <c r="E63" s="952" t="s">
        <v>95</v>
      </c>
      <c r="F63" s="948"/>
      <c r="I63" s="947"/>
      <c r="J63" s="427"/>
    </row>
    <row r="64" spans="1:10" s="828" customFormat="1" ht="15.5" x14ac:dyDescent="0.35">
      <c r="A64" s="951" t="s">
        <v>2055</v>
      </c>
      <c r="B64" s="952" t="s">
        <v>690</v>
      </c>
      <c r="C64" s="952" t="s">
        <v>2050</v>
      </c>
      <c r="D64" s="952" t="s">
        <v>2056</v>
      </c>
      <c r="E64" s="952" t="s">
        <v>95</v>
      </c>
      <c r="F64" s="427"/>
      <c r="I64" s="947"/>
      <c r="J64" s="948"/>
    </row>
    <row r="65" spans="1:11" s="828" customFormat="1" ht="15.5" x14ac:dyDescent="0.35">
      <c r="A65" s="951" t="s">
        <v>1385</v>
      </c>
      <c r="B65" s="952" t="s">
        <v>1386</v>
      </c>
      <c r="C65" s="952" t="s">
        <v>2057</v>
      </c>
      <c r="D65" s="952" t="s">
        <v>1388</v>
      </c>
      <c r="E65" s="952" t="s">
        <v>2058</v>
      </c>
      <c r="F65" s="427"/>
      <c r="I65" s="947"/>
      <c r="J65" s="427"/>
    </row>
    <row r="66" spans="1:11" s="828" customFormat="1" ht="15.5" x14ac:dyDescent="0.35">
      <c r="A66" s="951" t="s">
        <v>1385</v>
      </c>
      <c r="B66" s="952" t="s">
        <v>1386</v>
      </c>
      <c r="C66" s="952" t="s">
        <v>2059</v>
      </c>
      <c r="D66" s="952" t="s">
        <v>1390</v>
      </c>
      <c r="E66" s="952" t="s">
        <v>2058</v>
      </c>
      <c r="F66" s="427"/>
      <c r="I66" s="947"/>
      <c r="J66" s="427"/>
    </row>
    <row r="67" spans="1:11" s="828" customFormat="1" ht="15.5" x14ac:dyDescent="0.35">
      <c r="A67" s="951" t="s">
        <v>1649</v>
      </c>
      <c r="B67" s="952" t="s">
        <v>786</v>
      </c>
      <c r="C67" s="952" t="s">
        <v>1650</v>
      </c>
      <c r="D67" s="952" t="s">
        <v>1651</v>
      </c>
      <c r="E67" s="952" t="s">
        <v>2058</v>
      </c>
      <c r="F67" s="948"/>
      <c r="I67" s="947"/>
      <c r="J67" s="427"/>
    </row>
    <row r="68" spans="1:11" s="828" customFormat="1" ht="15.5" x14ac:dyDescent="0.35">
      <c r="A68" s="951" t="s">
        <v>1394</v>
      </c>
      <c r="B68" s="952" t="s">
        <v>1291</v>
      </c>
      <c r="C68" s="952" t="s">
        <v>1399</v>
      </c>
      <c r="D68" s="952" t="s">
        <v>1400</v>
      </c>
      <c r="E68" s="952" t="s">
        <v>2058</v>
      </c>
      <c r="F68" s="427"/>
      <c r="I68" s="947"/>
      <c r="J68" s="427"/>
    </row>
    <row r="69" spans="1:11" s="828" customFormat="1" ht="15.5" x14ac:dyDescent="0.35">
      <c r="A69" s="951" t="s">
        <v>1394</v>
      </c>
      <c r="B69" s="952" t="s">
        <v>1395</v>
      </c>
      <c r="C69" s="952" t="s">
        <v>2060</v>
      </c>
      <c r="D69" s="952" t="s">
        <v>1397</v>
      </c>
      <c r="E69" s="952" t="s">
        <v>2058</v>
      </c>
      <c r="F69" s="427"/>
      <c r="I69" s="947"/>
      <c r="J69" s="427"/>
    </row>
    <row r="70" spans="1:11" s="828" customFormat="1" ht="15.5" x14ac:dyDescent="0.35">
      <c r="A70" s="951" t="s">
        <v>1405</v>
      </c>
      <c r="B70" s="952" t="s">
        <v>1281</v>
      </c>
      <c r="C70" s="952" t="s">
        <v>1406</v>
      </c>
      <c r="D70" s="952" t="s">
        <v>1407</v>
      </c>
      <c r="E70" s="952" t="s">
        <v>2058</v>
      </c>
      <c r="F70" s="427"/>
      <c r="I70" s="947"/>
      <c r="J70" s="955"/>
      <c r="K70" s="953"/>
    </row>
    <row r="71" spans="1:11" s="828" customFormat="1" ht="15.5" x14ac:dyDescent="0.35">
      <c r="A71" s="951" t="s">
        <v>2061</v>
      </c>
      <c r="B71" s="952" t="s">
        <v>2062</v>
      </c>
      <c r="C71" s="952" t="s">
        <v>2063</v>
      </c>
      <c r="D71" s="952" t="s">
        <v>2064</v>
      </c>
      <c r="E71" s="952" t="s">
        <v>2058</v>
      </c>
      <c r="F71" s="948"/>
      <c r="I71" s="947"/>
      <c r="J71" s="948"/>
    </row>
    <row r="72" spans="1:11" s="828" customFormat="1" ht="15.5" x14ac:dyDescent="0.35">
      <c r="A72" s="951" t="s">
        <v>1401</v>
      </c>
      <c r="B72" s="952" t="s">
        <v>1402</v>
      </c>
      <c r="C72" s="952" t="s">
        <v>1403</v>
      </c>
      <c r="D72" s="952" t="s">
        <v>1404</v>
      </c>
      <c r="E72" s="952" t="s">
        <v>2058</v>
      </c>
      <c r="F72" s="427"/>
      <c r="I72" s="947"/>
      <c r="J72" s="427"/>
    </row>
    <row r="73" spans="1:11" s="828" customFormat="1" ht="15.5" x14ac:dyDescent="0.35">
      <c r="A73" s="951" t="s">
        <v>1408</v>
      </c>
      <c r="B73" s="952" t="s">
        <v>1590</v>
      </c>
      <c r="C73" s="952" t="s">
        <v>1409</v>
      </c>
      <c r="D73" s="952" t="s">
        <v>1410</v>
      </c>
      <c r="E73" s="952" t="s">
        <v>2058</v>
      </c>
      <c r="F73" s="427"/>
      <c r="I73" s="947"/>
      <c r="J73" s="427"/>
    </row>
    <row r="74" spans="1:11" s="828" customFormat="1" ht="15.5" x14ac:dyDescent="0.35">
      <c r="A74" s="951" t="s">
        <v>1408</v>
      </c>
      <c r="B74" s="952" t="s">
        <v>1590</v>
      </c>
      <c r="C74" s="952" t="s">
        <v>1409</v>
      </c>
      <c r="D74" s="952" t="s">
        <v>2065</v>
      </c>
      <c r="E74" s="952" t="s">
        <v>2058</v>
      </c>
      <c r="F74" s="427"/>
      <c r="I74" s="947"/>
      <c r="J74" s="427"/>
    </row>
    <row r="75" spans="1:11" s="828" customFormat="1" ht="15.5" x14ac:dyDescent="0.35">
      <c r="A75" s="951" t="s">
        <v>1408</v>
      </c>
      <c r="B75" s="952" t="s">
        <v>1590</v>
      </c>
      <c r="C75" s="952" t="s">
        <v>1409</v>
      </c>
      <c r="D75" s="952" t="s">
        <v>1412</v>
      </c>
      <c r="E75" s="952" t="s">
        <v>2058</v>
      </c>
      <c r="F75" s="948"/>
      <c r="I75" s="947"/>
      <c r="J75" s="948"/>
    </row>
    <row r="76" spans="1:11" s="828" customFormat="1" ht="15.5" x14ac:dyDescent="0.35">
      <c r="A76" s="951" t="s">
        <v>1413</v>
      </c>
      <c r="B76" s="952" t="s">
        <v>1144</v>
      </c>
      <c r="C76" s="952" t="s">
        <v>1414</v>
      </c>
      <c r="D76" s="952" t="s">
        <v>1415</v>
      </c>
      <c r="E76" s="952" t="s">
        <v>2058</v>
      </c>
      <c r="F76" s="427"/>
      <c r="I76" s="947"/>
      <c r="J76" s="427"/>
    </row>
    <row r="77" spans="1:11" s="828" customFormat="1" ht="15.5" x14ac:dyDescent="0.35">
      <c r="A77" s="951" t="s">
        <v>1416</v>
      </c>
      <c r="B77" s="952" t="s">
        <v>546</v>
      </c>
      <c r="C77" s="952" t="s">
        <v>1417</v>
      </c>
      <c r="D77" s="952" t="s">
        <v>1418</v>
      </c>
      <c r="E77" s="952" t="s">
        <v>2058</v>
      </c>
      <c r="F77" s="427"/>
      <c r="I77" s="947"/>
      <c r="J77" s="427"/>
    </row>
    <row r="78" spans="1:11" s="828" customFormat="1" ht="15.5" x14ac:dyDescent="0.35">
      <c r="A78" s="951" t="s">
        <v>1643</v>
      </c>
      <c r="B78" s="952" t="s">
        <v>1294</v>
      </c>
      <c r="C78" s="952" t="s">
        <v>1644</v>
      </c>
      <c r="D78" s="952" t="s">
        <v>1645</v>
      </c>
      <c r="E78" s="952" t="s">
        <v>2058</v>
      </c>
      <c r="F78" s="427"/>
      <c r="I78" s="947"/>
      <c r="J78" s="427"/>
    </row>
    <row r="79" spans="1:11" s="828" customFormat="1" ht="15.5" x14ac:dyDescent="0.35">
      <c r="A79" s="951" t="s">
        <v>1643</v>
      </c>
      <c r="B79" s="952" t="s">
        <v>1294</v>
      </c>
      <c r="C79" s="952" t="s">
        <v>2066</v>
      </c>
      <c r="D79" s="952" t="s">
        <v>1648</v>
      </c>
      <c r="E79" s="952" t="s">
        <v>2058</v>
      </c>
      <c r="F79" s="948"/>
      <c r="I79" s="947"/>
      <c r="J79" s="948"/>
    </row>
    <row r="80" spans="1:11" s="828" customFormat="1" ht="15.5" x14ac:dyDescent="0.35">
      <c r="A80" s="951" t="s">
        <v>1391</v>
      </c>
      <c r="B80" s="952" t="s">
        <v>1150</v>
      </c>
      <c r="C80" s="952" t="s">
        <v>2067</v>
      </c>
      <c r="D80" s="952" t="s">
        <v>2068</v>
      </c>
      <c r="E80" s="952" t="s">
        <v>2058</v>
      </c>
      <c r="F80" s="427"/>
      <c r="I80" s="947"/>
      <c r="J80" s="427"/>
    </row>
    <row r="81" spans="1:10" s="828" customFormat="1" ht="15.5" x14ac:dyDescent="0.35">
      <c r="A81" s="951" t="s">
        <v>1658</v>
      </c>
      <c r="B81" s="952" t="s">
        <v>540</v>
      </c>
      <c r="C81" s="952" t="s">
        <v>1659</v>
      </c>
      <c r="D81" s="952" t="s">
        <v>1660</v>
      </c>
      <c r="E81" s="952" t="s">
        <v>2058</v>
      </c>
      <c r="F81" s="427"/>
      <c r="I81" s="947"/>
      <c r="J81" s="427"/>
    </row>
    <row r="82" spans="1:10" s="828" customFormat="1" ht="15.5" x14ac:dyDescent="0.35">
      <c r="A82" s="951" t="s">
        <v>1654</v>
      </c>
      <c r="B82" s="952" t="s">
        <v>1655</v>
      </c>
      <c r="C82" s="952" t="s">
        <v>2069</v>
      </c>
      <c r="D82" s="952" t="s">
        <v>1657</v>
      </c>
      <c r="E82" s="952" t="s">
        <v>2058</v>
      </c>
      <c r="F82" s="427"/>
      <c r="I82" s="947"/>
      <c r="J82" s="427"/>
    </row>
    <row r="83" spans="1:10" s="828" customFormat="1" ht="15.5" x14ac:dyDescent="0.35">
      <c r="A83" s="951" t="s">
        <v>134</v>
      </c>
      <c r="B83" s="952" t="s">
        <v>727</v>
      </c>
      <c r="C83" s="952" t="s">
        <v>413</v>
      </c>
      <c r="D83" s="952" t="s">
        <v>414</v>
      </c>
      <c r="E83" s="952" t="s">
        <v>415</v>
      </c>
      <c r="F83" s="427"/>
      <c r="I83" s="947"/>
      <c r="J83" s="948"/>
    </row>
    <row r="84" spans="1:10" s="828" customFormat="1" ht="15.5" x14ac:dyDescent="0.35">
      <c r="A84" s="951" t="s">
        <v>1632</v>
      </c>
      <c r="B84" s="952" t="s">
        <v>1633</v>
      </c>
      <c r="C84" s="952" t="s">
        <v>416</v>
      </c>
      <c r="D84" s="952" t="s">
        <v>1635</v>
      </c>
      <c r="E84" s="952" t="s">
        <v>415</v>
      </c>
      <c r="F84" s="427"/>
      <c r="I84" s="947"/>
      <c r="J84" s="427"/>
    </row>
    <row r="85" spans="1:10" s="828" customFormat="1" ht="15.5" x14ac:dyDescent="0.35">
      <c r="A85" s="951" t="s">
        <v>1636</v>
      </c>
      <c r="B85" s="952" t="s">
        <v>746</v>
      </c>
      <c r="C85" s="952" t="s">
        <v>1637</v>
      </c>
      <c r="D85" s="952" t="s">
        <v>1638</v>
      </c>
      <c r="E85" s="952" t="s">
        <v>415</v>
      </c>
      <c r="F85" s="427"/>
      <c r="I85" s="947"/>
      <c r="J85" s="427"/>
    </row>
    <row r="86" spans="1:10" s="828" customFormat="1" ht="15.5" x14ac:dyDescent="0.35">
      <c r="A86" s="951" t="s">
        <v>1639</v>
      </c>
      <c r="B86" s="952" t="s">
        <v>1640</v>
      </c>
      <c r="C86" s="952" t="s">
        <v>417</v>
      </c>
      <c r="D86" s="952" t="s">
        <v>418</v>
      </c>
      <c r="E86" s="952" t="s">
        <v>137</v>
      </c>
      <c r="F86" s="427"/>
      <c r="I86" s="947"/>
      <c r="J86" s="427"/>
    </row>
    <row r="87" spans="1:10" s="828" customFormat="1" ht="15.5" x14ac:dyDescent="0.35">
      <c r="A87" s="951" t="s">
        <v>99</v>
      </c>
      <c r="B87" s="952" t="s">
        <v>1441</v>
      </c>
      <c r="C87" s="952" t="s">
        <v>100</v>
      </c>
      <c r="D87" s="952" t="s">
        <v>101</v>
      </c>
      <c r="E87" s="952" t="s">
        <v>419</v>
      </c>
      <c r="F87" s="948"/>
      <c r="I87" s="947"/>
      <c r="J87" s="948"/>
    </row>
    <row r="88" spans="1:10" s="828" customFormat="1" ht="15.5" x14ac:dyDescent="0.35">
      <c r="A88" s="951" t="s">
        <v>420</v>
      </c>
      <c r="B88" s="952" t="s">
        <v>421</v>
      </c>
      <c r="C88" s="952" t="s">
        <v>107</v>
      </c>
      <c r="D88" s="952" t="s">
        <v>422</v>
      </c>
      <c r="E88" s="952" t="s">
        <v>419</v>
      </c>
      <c r="F88" s="427"/>
      <c r="I88" s="947"/>
      <c r="J88" s="427"/>
    </row>
    <row r="89" spans="1:10" s="828" customFormat="1" ht="15.5" x14ac:dyDescent="0.35">
      <c r="A89" s="951" t="s">
        <v>115</v>
      </c>
      <c r="B89" s="952" t="s">
        <v>2242</v>
      </c>
      <c r="C89" s="952" t="s">
        <v>423</v>
      </c>
      <c r="D89" s="952" t="s">
        <v>117</v>
      </c>
      <c r="E89" s="952" t="s">
        <v>419</v>
      </c>
      <c r="F89" s="427"/>
      <c r="I89" s="947"/>
      <c r="J89" s="427"/>
    </row>
    <row r="90" spans="1:10" s="828" customFormat="1" ht="15.5" x14ac:dyDescent="0.35">
      <c r="A90" s="951" t="s">
        <v>424</v>
      </c>
      <c r="B90" s="952" t="s">
        <v>425</v>
      </c>
      <c r="C90" s="952" t="s">
        <v>104</v>
      </c>
      <c r="D90" s="952" t="s">
        <v>426</v>
      </c>
      <c r="E90" s="952" t="s">
        <v>419</v>
      </c>
      <c r="F90" s="427"/>
      <c r="I90" s="947"/>
      <c r="J90" s="427"/>
    </row>
    <row r="91" spans="1:10" s="828" customFormat="1" ht="15.5" x14ac:dyDescent="0.35">
      <c r="A91" s="951" t="s">
        <v>427</v>
      </c>
      <c r="B91" s="952" t="s">
        <v>1609</v>
      </c>
      <c r="C91" s="952" t="s">
        <v>423</v>
      </c>
      <c r="D91" s="952" t="s">
        <v>428</v>
      </c>
      <c r="E91" s="952" t="s">
        <v>419</v>
      </c>
      <c r="F91" s="427"/>
      <c r="I91" s="947"/>
      <c r="J91" s="948"/>
    </row>
    <row r="92" spans="1:10" s="828" customFormat="1" ht="15.5" x14ac:dyDescent="0.35">
      <c r="A92" s="951" t="s">
        <v>427</v>
      </c>
      <c r="B92" s="952" t="s">
        <v>1609</v>
      </c>
      <c r="C92" s="952" t="s">
        <v>104</v>
      </c>
      <c r="D92" s="952" t="s">
        <v>429</v>
      </c>
      <c r="E92" s="952" t="s">
        <v>419</v>
      </c>
      <c r="F92" s="427"/>
      <c r="I92" s="947"/>
      <c r="J92" s="427"/>
    </row>
    <row r="93" spans="1:10" s="828" customFormat="1" ht="15.5" x14ac:dyDescent="0.35">
      <c r="A93" s="951" t="s">
        <v>118</v>
      </c>
      <c r="B93" s="952" t="s">
        <v>1098</v>
      </c>
      <c r="C93" s="952" t="s">
        <v>119</v>
      </c>
      <c r="D93" s="952" t="s">
        <v>120</v>
      </c>
      <c r="E93" s="952" t="s">
        <v>419</v>
      </c>
      <c r="F93" s="427"/>
      <c r="I93" s="947"/>
      <c r="J93" s="427"/>
    </row>
    <row r="94" spans="1:10" s="828" customFormat="1" ht="15.5" x14ac:dyDescent="0.35">
      <c r="A94" s="951" t="s">
        <v>121</v>
      </c>
      <c r="B94" s="952" t="s">
        <v>637</v>
      </c>
      <c r="C94" s="952" t="s">
        <v>430</v>
      </c>
      <c r="D94" s="952" t="s">
        <v>123</v>
      </c>
      <c r="E94" s="952" t="s">
        <v>431</v>
      </c>
      <c r="F94" s="427"/>
      <c r="I94" s="947"/>
      <c r="J94" s="427"/>
    </row>
    <row r="95" spans="1:10" s="828" customFormat="1" ht="15.5" x14ac:dyDescent="0.35">
      <c r="A95" s="951" t="s">
        <v>124</v>
      </c>
      <c r="B95" s="952" t="s">
        <v>125</v>
      </c>
      <c r="C95" s="952" t="s">
        <v>126</v>
      </c>
      <c r="D95" s="952" t="s">
        <v>127</v>
      </c>
      <c r="E95" s="952" t="s">
        <v>431</v>
      </c>
      <c r="F95" s="948"/>
      <c r="I95" s="947"/>
      <c r="J95" s="427"/>
    </row>
    <row r="96" spans="1:10" s="828" customFormat="1" ht="15.5" x14ac:dyDescent="0.35">
      <c r="A96" s="951" t="s">
        <v>128</v>
      </c>
      <c r="B96" s="952" t="s">
        <v>2248</v>
      </c>
      <c r="C96" s="952" t="s">
        <v>432</v>
      </c>
      <c r="D96" s="952" t="s">
        <v>130</v>
      </c>
      <c r="E96" s="952" t="s">
        <v>419</v>
      </c>
      <c r="F96" s="427"/>
      <c r="I96" s="947"/>
      <c r="J96" s="427"/>
    </row>
    <row r="97" spans="1:10" s="828" customFormat="1" ht="15.5" x14ac:dyDescent="0.35">
      <c r="A97" s="951" t="s">
        <v>433</v>
      </c>
      <c r="B97" s="952" t="s">
        <v>715</v>
      </c>
      <c r="C97" s="952" t="s">
        <v>434</v>
      </c>
      <c r="D97" s="952" t="s">
        <v>435</v>
      </c>
      <c r="E97" s="952" t="s">
        <v>801</v>
      </c>
      <c r="F97" s="427"/>
      <c r="I97" s="947"/>
      <c r="J97" s="427"/>
    </row>
    <row r="98" spans="1:10" s="828" customFormat="1" ht="15.5" x14ac:dyDescent="0.35">
      <c r="A98" s="951" t="s">
        <v>1661</v>
      </c>
      <c r="B98" s="952" t="s">
        <v>2306</v>
      </c>
      <c r="C98" s="952" t="s">
        <v>436</v>
      </c>
      <c r="D98" s="952" t="s">
        <v>1663</v>
      </c>
      <c r="E98" s="952" t="s">
        <v>801</v>
      </c>
      <c r="F98" s="427"/>
      <c r="I98" s="947"/>
      <c r="J98" s="427"/>
    </row>
    <row r="99" spans="1:10" s="828" customFormat="1" ht="15.5" x14ac:dyDescent="0.35">
      <c r="A99" s="951" t="s">
        <v>1665</v>
      </c>
      <c r="B99" s="952" t="s">
        <v>712</v>
      </c>
      <c r="C99" s="952" t="s">
        <v>1666</v>
      </c>
      <c r="D99" s="952" t="s">
        <v>1380</v>
      </c>
      <c r="E99" s="952" t="s">
        <v>801</v>
      </c>
      <c r="F99" s="948"/>
      <c r="I99" s="947"/>
      <c r="J99" s="948"/>
    </row>
    <row r="100" spans="1:10" s="828" customFormat="1" ht="24" customHeight="1" x14ac:dyDescent="0.35">
      <c r="A100" s="951" t="s">
        <v>1381</v>
      </c>
      <c r="B100" s="952" t="s">
        <v>1382</v>
      </c>
      <c r="C100" s="952" t="s">
        <v>434</v>
      </c>
      <c r="D100" s="952" t="s">
        <v>1384</v>
      </c>
      <c r="E100" s="952" t="s">
        <v>801</v>
      </c>
      <c r="F100" s="427"/>
      <c r="I100" s="947"/>
      <c r="J100" s="427"/>
    </row>
    <row r="101" spans="1:10" s="828" customFormat="1" ht="15.5" x14ac:dyDescent="0.35">
      <c r="A101" s="427"/>
      <c r="B101" s="427"/>
      <c r="E101" s="949"/>
      <c r="F101" s="427"/>
      <c r="I101" s="947"/>
      <c r="J101" s="427"/>
    </row>
    <row r="102" spans="1:10" s="828" customFormat="1" ht="15.5" x14ac:dyDescent="0.35">
      <c r="A102" s="427"/>
      <c r="B102" s="427"/>
      <c r="E102" s="949"/>
      <c r="F102" s="427"/>
      <c r="I102" s="947"/>
      <c r="J102" s="427"/>
    </row>
    <row r="103" spans="1:10" s="828" customFormat="1" ht="15.5" x14ac:dyDescent="0.35">
      <c r="A103" s="427"/>
      <c r="B103" s="427"/>
      <c r="E103" s="949"/>
      <c r="F103" s="948"/>
      <c r="I103" s="947"/>
      <c r="J103" s="427"/>
    </row>
    <row r="104" spans="1:10" s="828" customFormat="1" ht="15.5" x14ac:dyDescent="0.35">
      <c r="A104" s="427"/>
      <c r="B104" s="948"/>
      <c r="E104" s="949"/>
      <c r="F104" s="427"/>
      <c r="I104" s="947"/>
      <c r="J104" s="427"/>
    </row>
    <row r="105" spans="1:10" s="828" customFormat="1" ht="15.5" x14ac:dyDescent="0.35">
      <c r="A105" s="427"/>
      <c r="B105" s="427"/>
      <c r="E105" s="949"/>
      <c r="F105" s="427"/>
      <c r="I105" s="947"/>
      <c r="J105" s="427"/>
    </row>
    <row r="107" spans="1:10" x14ac:dyDescent="0.25">
      <c r="F107" s="876"/>
      <c r="J107" s="876"/>
    </row>
    <row r="110" spans="1:10" x14ac:dyDescent="0.25">
      <c r="C110" s="924"/>
    </row>
    <row r="111" spans="1:10" x14ac:dyDescent="0.25">
      <c r="B111" s="876"/>
      <c r="F111" s="876"/>
      <c r="J111" s="876"/>
    </row>
    <row r="115" spans="2:10" x14ac:dyDescent="0.25">
      <c r="B115" s="876"/>
      <c r="J115" s="876"/>
    </row>
    <row r="118" spans="2:10" x14ac:dyDescent="0.25">
      <c r="F118" s="876"/>
    </row>
    <row r="119" spans="2:10" x14ac:dyDescent="0.25">
      <c r="B119" s="876"/>
      <c r="J119" s="876"/>
    </row>
    <row r="123" spans="2:10" x14ac:dyDescent="0.25">
      <c r="B123" s="876"/>
      <c r="J123" s="876"/>
    </row>
    <row r="127" spans="2:10" x14ac:dyDescent="0.25">
      <c r="B127" s="876"/>
    </row>
    <row r="130" spans="2:10" x14ac:dyDescent="0.25">
      <c r="J130" s="876"/>
    </row>
    <row r="131" spans="2:10" x14ac:dyDescent="0.25">
      <c r="B131" s="876"/>
    </row>
    <row r="139" spans="2:10" x14ac:dyDescent="0.25">
      <c r="B139" s="876"/>
    </row>
    <row r="147" spans="2:2" x14ac:dyDescent="0.25">
      <c r="B147" s="876"/>
    </row>
    <row r="151" spans="2:2" x14ac:dyDescent="0.25">
      <c r="B151" s="876"/>
    </row>
    <row r="155" spans="2:2" x14ac:dyDescent="0.25">
      <c r="B155" s="876"/>
    </row>
    <row r="159" spans="2:2" x14ac:dyDescent="0.25">
      <c r="B159" s="876"/>
    </row>
    <row r="163" spans="2:2" x14ac:dyDescent="0.25">
      <c r="B163" s="876"/>
    </row>
    <row r="170" spans="2:2" x14ac:dyDescent="0.25">
      <c r="B170" s="876"/>
    </row>
  </sheetData>
  <sheetProtection password="C534" sheet="1" objects="1" scenarios="1" autoFilter="0"/>
  <autoFilter ref="A3:E3" xr:uid="{00000000-0009-0000-0000-000006000000}"/>
  <mergeCells count="2">
    <mergeCell ref="A1:E1"/>
    <mergeCell ref="A2:E2"/>
  </mergeCells>
  <phoneticPr fontId="2" type="noConversion"/>
  <hyperlinks>
    <hyperlink ref="A1:E1" location="MUGdienst" display="Terug naar invulluik" xr:uid="{00000000-0004-0000-0600-000000000000}"/>
  </hyperlinks>
  <pageMargins left="0" right="0" top="0.59055118110236227" bottom="0.39370078740157483" header="0.31496062992125984" footer="0.11811023622047245"/>
  <pageSetup paperSize="8" orientation="landscape" r:id="rId1"/>
  <headerFooter alignWithMargins="0">
    <oddHeader>&amp;C&amp;"Arial,Bold"&amp;14ZIEKENWAGENDIENSTEN PROVINCIE ANTWERPEN</oddHeader>
    <oddFooter>&amp;R&amp;8FOD Volksgezondheid - ICM</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26">
    <tabColor indexed="10"/>
  </sheetPr>
  <dimension ref="A1:K149"/>
  <sheetViews>
    <sheetView zoomScale="75" workbookViewId="0">
      <selection activeCell="A2" sqref="A2:E2"/>
    </sheetView>
  </sheetViews>
  <sheetFormatPr defaultColWidth="9.1796875" defaultRowHeight="10.5" x14ac:dyDescent="0.25"/>
  <cols>
    <col min="1" max="1" width="15.453125" style="945" customWidth="1"/>
    <col min="2" max="2" width="26.26953125" style="874" customWidth="1"/>
    <col min="3" max="3" width="59.1796875" style="875" bestFit="1" customWidth="1"/>
    <col min="4" max="4" width="44.7265625" style="875" bestFit="1" customWidth="1"/>
    <col min="5" max="5" width="19.81640625" style="877" customWidth="1"/>
    <col min="6" max="6" width="20.453125" style="874" customWidth="1"/>
    <col min="7" max="7" width="33.26953125" style="875" customWidth="1"/>
    <col min="8" max="8" width="2.7265625" style="875" customWidth="1"/>
    <col min="9" max="9" width="12.26953125" style="712" customWidth="1"/>
    <col min="10" max="10" width="20.453125" style="874" customWidth="1"/>
    <col min="11" max="11" width="33.26953125" style="875" customWidth="1"/>
    <col min="12" max="16384" width="9.1796875" style="875"/>
  </cols>
  <sheetData>
    <row r="1" spans="1:11" ht="25.5" thickBot="1" x14ac:dyDescent="0.3">
      <c r="A1" s="1484" t="s">
        <v>829</v>
      </c>
      <c r="B1" s="1485"/>
      <c r="C1" s="1485"/>
      <c r="D1" s="1485"/>
      <c r="E1" s="1486"/>
    </row>
    <row r="2" spans="1:11" ht="18" x14ac:dyDescent="0.4">
      <c r="A2" s="1489" t="s">
        <v>830</v>
      </c>
      <c r="B2" s="1490"/>
      <c r="C2" s="1490"/>
      <c r="D2" s="1490"/>
      <c r="E2" s="1490"/>
      <c r="F2" s="881"/>
      <c r="G2" s="881"/>
      <c r="H2" s="878"/>
      <c r="I2" s="881"/>
      <c r="J2" s="881"/>
      <c r="K2" s="881"/>
    </row>
    <row r="3" spans="1:11" s="879" customFormat="1" ht="28" x14ac:dyDescent="0.25">
      <c r="A3" s="942" t="s">
        <v>1419</v>
      </c>
      <c r="B3" s="893" t="s">
        <v>1989</v>
      </c>
      <c r="C3" s="892" t="s">
        <v>1990</v>
      </c>
      <c r="D3" s="892" t="s">
        <v>652</v>
      </c>
      <c r="E3" s="892" t="s">
        <v>828</v>
      </c>
      <c r="G3" s="880"/>
      <c r="J3" s="880"/>
    </row>
    <row r="4" spans="1:11" s="934" customFormat="1" ht="14" x14ac:dyDescent="0.3">
      <c r="A4" s="943">
        <v>2170</v>
      </c>
      <c r="B4" s="897" t="s">
        <v>1081</v>
      </c>
      <c r="C4" s="894" t="s">
        <v>1992</v>
      </c>
      <c r="D4" s="895" t="s">
        <v>1993</v>
      </c>
      <c r="E4" s="897" t="s">
        <v>1991</v>
      </c>
      <c r="F4" s="933"/>
      <c r="J4" s="933"/>
    </row>
    <row r="5" spans="1:11" s="934" customFormat="1" ht="14" x14ac:dyDescent="0.3">
      <c r="A5" s="943">
        <v>2060</v>
      </c>
      <c r="B5" s="897" t="s">
        <v>1991</v>
      </c>
      <c r="C5" s="894" t="s">
        <v>1994</v>
      </c>
      <c r="D5" s="895" t="s">
        <v>1995</v>
      </c>
      <c r="E5" s="897" t="s">
        <v>1991</v>
      </c>
      <c r="F5" s="935"/>
      <c r="J5" s="935"/>
    </row>
    <row r="6" spans="1:11" s="934" customFormat="1" ht="14" x14ac:dyDescent="0.3">
      <c r="A6" s="943">
        <v>2020</v>
      </c>
      <c r="B6" s="897" t="s">
        <v>1991</v>
      </c>
      <c r="C6" s="895" t="s">
        <v>1996</v>
      </c>
      <c r="D6" s="895" t="s">
        <v>1997</v>
      </c>
      <c r="E6" s="897" t="s">
        <v>1991</v>
      </c>
      <c r="F6" s="936"/>
      <c r="J6" s="936"/>
    </row>
    <row r="7" spans="1:11" s="934" customFormat="1" ht="14" x14ac:dyDescent="0.3">
      <c r="A7" s="943">
        <v>2140</v>
      </c>
      <c r="B7" s="897" t="s">
        <v>831</v>
      </c>
      <c r="C7" s="895" t="s">
        <v>2000</v>
      </c>
      <c r="D7" s="895" t="s">
        <v>2001</v>
      </c>
      <c r="E7" s="897" t="s">
        <v>1991</v>
      </c>
      <c r="F7" s="937"/>
    </row>
    <row r="8" spans="1:11" s="934" customFormat="1" ht="14" x14ac:dyDescent="0.3">
      <c r="A8" s="943">
        <v>2100</v>
      </c>
      <c r="B8" s="897" t="s">
        <v>832</v>
      </c>
      <c r="C8" s="895" t="s">
        <v>1998</v>
      </c>
      <c r="D8" s="895" t="s">
        <v>1999</v>
      </c>
      <c r="E8" s="897" t="s">
        <v>1991</v>
      </c>
      <c r="J8" s="937"/>
    </row>
    <row r="9" spans="1:11" s="934" customFormat="1" ht="14" x14ac:dyDescent="0.3">
      <c r="A9" s="943">
        <v>2018</v>
      </c>
      <c r="B9" s="897" t="s">
        <v>1991</v>
      </c>
      <c r="C9" s="895" t="s">
        <v>2002</v>
      </c>
      <c r="D9" s="895" t="s">
        <v>2003</v>
      </c>
      <c r="E9" s="897" t="s">
        <v>1991</v>
      </c>
      <c r="F9" s="935"/>
    </row>
    <row r="10" spans="1:11" s="934" customFormat="1" ht="14" x14ac:dyDescent="0.3">
      <c r="A10" s="943">
        <v>2820</v>
      </c>
      <c r="B10" s="897" t="s">
        <v>2004</v>
      </c>
      <c r="C10" s="895" t="s">
        <v>2005</v>
      </c>
      <c r="D10" s="895" t="s">
        <v>2006</v>
      </c>
      <c r="E10" s="897" t="s">
        <v>1991</v>
      </c>
      <c r="F10" s="937"/>
      <c r="J10" s="935"/>
    </row>
    <row r="11" spans="1:11" s="934" customFormat="1" ht="14" x14ac:dyDescent="0.3">
      <c r="A11" s="943">
        <v>2880</v>
      </c>
      <c r="B11" s="897" t="s">
        <v>2013</v>
      </c>
      <c r="C11" s="895" t="s">
        <v>2014</v>
      </c>
      <c r="D11" s="895" t="s">
        <v>2015</v>
      </c>
      <c r="E11" s="897" t="s">
        <v>1991</v>
      </c>
      <c r="F11" s="937"/>
    </row>
    <row r="12" spans="1:11" s="934" customFormat="1" ht="14" x14ac:dyDescent="0.3">
      <c r="A12" s="943">
        <v>2930</v>
      </c>
      <c r="B12" s="897" t="s">
        <v>2007</v>
      </c>
      <c r="C12" s="895" t="s">
        <v>2008</v>
      </c>
      <c r="D12" s="895" t="s">
        <v>2009</v>
      </c>
      <c r="E12" s="897" t="s">
        <v>1991</v>
      </c>
      <c r="F12" s="937"/>
      <c r="J12" s="937"/>
    </row>
    <row r="13" spans="1:11" s="934" customFormat="1" ht="14" x14ac:dyDescent="0.3">
      <c r="A13" s="943">
        <v>2570</v>
      </c>
      <c r="B13" s="897" t="s">
        <v>2022</v>
      </c>
      <c r="C13" s="895" t="s">
        <v>1825</v>
      </c>
      <c r="D13" s="895" t="s">
        <v>300</v>
      </c>
      <c r="E13" s="897" t="s">
        <v>1991</v>
      </c>
    </row>
    <row r="14" spans="1:11" s="934" customFormat="1" ht="14" x14ac:dyDescent="0.3">
      <c r="A14" s="943">
        <v>2650</v>
      </c>
      <c r="B14" s="897" t="s">
        <v>2010</v>
      </c>
      <c r="C14" s="895" t="s">
        <v>2011</v>
      </c>
      <c r="D14" s="895" t="s">
        <v>2012</v>
      </c>
      <c r="E14" s="897" t="s">
        <v>1991</v>
      </c>
      <c r="J14" s="937"/>
    </row>
    <row r="15" spans="1:11" s="934" customFormat="1" ht="14" x14ac:dyDescent="0.3">
      <c r="A15" s="943">
        <v>2440</v>
      </c>
      <c r="B15" s="897" t="s">
        <v>2016</v>
      </c>
      <c r="C15" s="895" t="s">
        <v>2017</v>
      </c>
      <c r="D15" s="895" t="s">
        <v>2018</v>
      </c>
      <c r="E15" s="897" t="s">
        <v>1991</v>
      </c>
      <c r="F15" s="937"/>
      <c r="J15" s="937"/>
    </row>
    <row r="16" spans="1:11" s="934" customFormat="1" ht="14" x14ac:dyDescent="0.3">
      <c r="A16" s="943">
        <v>2200</v>
      </c>
      <c r="B16" s="897" t="s">
        <v>2019</v>
      </c>
      <c r="C16" s="895" t="s">
        <v>2020</v>
      </c>
      <c r="D16" s="895" t="s">
        <v>2021</v>
      </c>
      <c r="E16" s="897" t="s">
        <v>1991</v>
      </c>
      <c r="F16" s="936"/>
    </row>
    <row r="17" spans="1:10" s="934" customFormat="1" ht="14" x14ac:dyDescent="0.3">
      <c r="A17" s="943">
        <v>2500</v>
      </c>
      <c r="B17" s="897" t="s">
        <v>302</v>
      </c>
      <c r="C17" s="895" t="s">
        <v>303</v>
      </c>
      <c r="D17" s="895" t="s">
        <v>304</v>
      </c>
      <c r="E17" s="897" t="s">
        <v>1991</v>
      </c>
      <c r="F17" s="937"/>
    </row>
    <row r="18" spans="1:10" s="934" customFormat="1" ht="14" x14ac:dyDescent="0.3">
      <c r="A18" s="943">
        <v>2390</v>
      </c>
      <c r="B18" s="897" t="s">
        <v>306</v>
      </c>
      <c r="C18" s="894" t="s">
        <v>2014</v>
      </c>
      <c r="D18" s="895" t="s">
        <v>2206</v>
      </c>
      <c r="E18" s="897" t="s">
        <v>1991</v>
      </c>
      <c r="J18" s="937"/>
    </row>
    <row r="19" spans="1:10" s="934" customFormat="1" ht="14" x14ac:dyDescent="0.3">
      <c r="A19" s="943">
        <v>2800</v>
      </c>
      <c r="B19" s="897" t="s">
        <v>2208</v>
      </c>
      <c r="C19" s="895" t="s">
        <v>2209</v>
      </c>
      <c r="D19" s="895" t="s">
        <v>2210</v>
      </c>
      <c r="E19" s="897" t="s">
        <v>1991</v>
      </c>
      <c r="F19" s="933"/>
      <c r="J19" s="936"/>
    </row>
    <row r="20" spans="1:10" s="934" customFormat="1" ht="14" x14ac:dyDescent="0.3">
      <c r="A20" s="943">
        <v>2400</v>
      </c>
      <c r="B20" s="897" t="s">
        <v>2026</v>
      </c>
      <c r="C20" s="895" t="s">
        <v>303</v>
      </c>
      <c r="D20" s="895" t="s">
        <v>2027</v>
      </c>
      <c r="E20" s="897" t="s">
        <v>1991</v>
      </c>
      <c r="F20" s="933"/>
    </row>
    <row r="21" spans="1:10" s="934" customFormat="1" ht="14" x14ac:dyDescent="0.3">
      <c r="A21" s="943">
        <v>2840</v>
      </c>
      <c r="B21" s="897" t="s">
        <v>2028</v>
      </c>
      <c r="C21" s="895" t="s">
        <v>2029</v>
      </c>
      <c r="D21" s="896" t="s">
        <v>2030</v>
      </c>
      <c r="E21" s="897" t="s">
        <v>1991</v>
      </c>
      <c r="F21" s="933"/>
    </row>
    <row r="22" spans="1:10" s="934" customFormat="1" ht="14" x14ac:dyDescent="0.3">
      <c r="A22" s="943">
        <v>2300</v>
      </c>
      <c r="B22" s="897" t="s">
        <v>2212</v>
      </c>
      <c r="C22" s="895" t="s">
        <v>2020</v>
      </c>
      <c r="D22" s="895" t="s">
        <v>2213</v>
      </c>
      <c r="E22" s="897" t="s">
        <v>1991</v>
      </c>
      <c r="F22" s="933"/>
      <c r="J22" s="937"/>
    </row>
    <row r="23" spans="1:10" s="934" customFormat="1" ht="14" x14ac:dyDescent="0.3">
      <c r="A23" s="943">
        <v>2300</v>
      </c>
      <c r="B23" s="897" t="s">
        <v>2212</v>
      </c>
      <c r="C23" s="895" t="s">
        <v>2014</v>
      </c>
      <c r="D23" s="895" t="s">
        <v>2031</v>
      </c>
      <c r="E23" s="897" t="s">
        <v>1991</v>
      </c>
      <c r="F23" s="933"/>
    </row>
    <row r="24" spans="1:10" s="934" customFormat="1" ht="14" x14ac:dyDescent="0.3">
      <c r="A24" s="943">
        <v>2610</v>
      </c>
      <c r="B24" s="897" t="s">
        <v>2215</v>
      </c>
      <c r="C24" s="897" t="s">
        <v>2023</v>
      </c>
      <c r="D24" s="898" t="s">
        <v>2024</v>
      </c>
      <c r="E24" s="897" t="s">
        <v>1991</v>
      </c>
      <c r="F24" s="933"/>
    </row>
    <row r="25" spans="1:10" s="934" customFormat="1" ht="14" x14ac:dyDescent="0.3">
      <c r="A25" s="944">
        <v>1000</v>
      </c>
      <c r="B25" s="941" t="s">
        <v>1754</v>
      </c>
      <c r="C25" s="941" t="s">
        <v>903</v>
      </c>
      <c r="D25" s="941" t="s">
        <v>904</v>
      </c>
      <c r="E25" s="941" t="s">
        <v>905</v>
      </c>
      <c r="F25" s="933"/>
      <c r="I25" s="938"/>
      <c r="J25" s="933"/>
    </row>
    <row r="26" spans="1:10" s="934" customFormat="1" ht="14" x14ac:dyDescent="0.3">
      <c r="A26" s="944" t="s">
        <v>1753</v>
      </c>
      <c r="B26" s="941" t="s">
        <v>16</v>
      </c>
      <c r="C26" s="941" t="s">
        <v>17</v>
      </c>
      <c r="D26" s="941" t="s">
        <v>18</v>
      </c>
      <c r="E26" s="941" t="s">
        <v>905</v>
      </c>
      <c r="F26" s="933"/>
      <c r="I26" s="938"/>
      <c r="J26" s="933"/>
    </row>
    <row r="27" spans="1:10" s="934" customFormat="1" ht="14" x14ac:dyDescent="0.3">
      <c r="A27" s="944" t="s">
        <v>19</v>
      </c>
      <c r="B27" s="941" t="s">
        <v>20</v>
      </c>
      <c r="C27" s="941" t="s">
        <v>21</v>
      </c>
      <c r="D27" s="941" t="s">
        <v>22</v>
      </c>
      <c r="E27" s="941" t="s">
        <v>905</v>
      </c>
      <c r="F27" s="935"/>
      <c r="I27" s="938"/>
      <c r="J27" s="933"/>
    </row>
    <row r="28" spans="1:10" s="934" customFormat="1" ht="14" x14ac:dyDescent="0.3">
      <c r="A28" s="944" t="s">
        <v>19</v>
      </c>
      <c r="B28" s="941" t="s">
        <v>20</v>
      </c>
      <c r="C28" s="941" t="s">
        <v>23</v>
      </c>
      <c r="D28" s="941" t="s">
        <v>24</v>
      </c>
      <c r="E28" s="941" t="s">
        <v>905</v>
      </c>
      <c r="F28" s="933"/>
      <c r="I28" s="938"/>
      <c r="J28" s="933"/>
    </row>
    <row r="29" spans="1:10" s="934" customFormat="1" ht="14" x14ac:dyDescent="0.3">
      <c r="A29" s="944" t="s">
        <v>25</v>
      </c>
      <c r="B29" s="941" t="s">
        <v>26</v>
      </c>
      <c r="C29" s="941" t="s">
        <v>27</v>
      </c>
      <c r="D29" s="941" t="s">
        <v>28</v>
      </c>
      <c r="E29" s="941" t="s">
        <v>905</v>
      </c>
      <c r="F29" s="933"/>
      <c r="I29" s="938"/>
      <c r="J29" s="933"/>
    </row>
    <row r="30" spans="1:10" s="934" customFormat="1" ht="14" x14ac:dyDescent="0.3">
      <c r="A30" s="944" t="s">
        <v>29</v>
      </c>
      <c r="B30" s="941" t="s">
        <v>30</v>
      </c>
      <c r="C30" s="941" t="s">
        <v>31</v>
      </c>
      <c r="D30" s="941" t="s">
        <v>32</v>
      </c>
      <c r="E30" s="941" t="s">
        <v>905</v>
      </c>
      <c r="F30" s="933"/>
      <c r="I30" s="938"/>
      <c r="J30" s="933"/>
    </row>
    <row r="31" spans="1:10" s="934" customFormat="1" ht="14" x14ac:dyDescent="0.3">
      <c r="A31" s="944" t="s">
        <v>29</v>
      </c>
      <c r="B31" s="941" t="s">
        <v>30</v>
      </c>
      <c r="C31" s="941" t="s">
        <v>563</v>
      </c>
      <c r="D31" s="941" t="s">
        <v>564</v>
      </c>
      <c r="E31" s="941" t="s">
        <v>905</v>
      </c>
      <c r="F31" s="933"/>
      <c r="I31" s="938"/>
      <c r="J31" s="933"/>
    </row>
    <row r="32" spans="1:10" s="934" customFormat="1" ht="14" x14ac:dyDescent="0.3">
      <c r="A32" s="944" t="s">
        <v>565</v>
      </c>
      <c r="B32" s="941" t="s">
        <v>566</v>
      </c>
      <c r="C32" s="941" t="s">
        <v>567</v>
      </c>
      <c r="D32" s="941" t="s">
        <v>568</v>
      </c>
      <c r="E32" s="941" t="s">
        <v>905</v>
      </c>
      <c r="F32" s="933"/>
      <c r="I32" s="938"/>
      <c r="J32" s="933"/>
    </row>
    <row r="33" spans="1:10" s="934" customFormat="1" ht="14" x14ac:dyDescent="0.3">
      <c r="A33" s="944" t="s">
        <v>569</v>
      </c>
      <c r="B33" s="941" t="s">
        <v>570</v>
      </c>
      <c r="C33" s="941" t="s">
        <v>571</v>
      </c>
      <c r="D33" s="941" t="s">
        <v>572</v>
      </c>
      <c r="E33" s="941" t="s">
        <v>905</v>
      </c>
      <c r="F33" s="933"/>
      <c r="I33" s="938"/>
      <c r="J33" s="933"/>
    </row>
    <row r="34" spans="1:10" s="934" customFormat="1" ht="14" x14ac:dyDescent="0.3">
      <c r="A34" s="944" t="s">
        <v>569</v>
      </c>
      <c r="B34" s="941" t="s">
        <v>573</v>
      </c>
      <c r="C34" s="941" t="s">
        <v>574</v>
      </c>
      <c r="D34" s="941" t="s">
        <v>575</v>
      </c>
      <c r="E34" s="941" t="s">
        <v>905</v>
      </c>
      <c r="F34" s="933"/>
      <c r="I34" s="938"/>
      <c r="J34" s="933"/>
    </row>
    <row r="35" spans="1:10" s="934" customFormat="1" ht="14" x14ac:dyDescent="0.3">
      <c r="A35" s="944" t="s">
        <v>576</v>
      </c>
      <c r="B35" s="941" t="s">
        <v>577</v>
      </c>
      <c r="C35" s="941" t="s">
        <v>578</v>
      </c>
      <c r="D35" s="941" t="s">
        <v>579</v>
      </c>
      <c r="E35" s="941" t="s">
        <v>905</v>
      </c>
      <c r="F35" s="933"/>
      <c r="I35" s="938"/>
      <c r="J35" s="933"/>
    </row>
    <row r="36" spans="1:10" s="934" customFormat="1" ht="14" x14ac:dyDescent="0.3">
      <c r="A36" s="944" t="s">
        <v>580</v>
      </c>
      <c r="B36" s="941" t="s">
        <v>1024</v>
      </c>
      <c r="C36" s="941" t="s">
        <v>581</v>
      </c>
      <c r="D36" s="941" t="s">
        <v>582</v>
      </c>
      <c r="E36" s="941" t="s">
        <v>583</v>
      </c>
      <c r="F36" s="933"/>
      <c r="I36" s="938"/>
      <c r="J36" s="933"/>
    </row>
    <row r="37" spans="1:10" s="934" customFormat="1" ht="14" x14ac:dyDescent="0.3">
      <c r="A37" s="944" t="s">
        <v>584</v>
      </c>
      <c r="B37" s="941" t="s">
        <v>1042</v>
      </c>
      <c r="C37" s="941" t="s">
        <v>585</v>
      </c>
      <c r="D37" s="941" t="s">
        <v>586</v>
      </c>
      <c r="E37" s="941" t="s">
        <v>583</v>
      </c>
      <c r="F37" s="933"/>
      <c r="I37" s="938"/>
      <c r="J37" s="933"/>
    </row>
    <row r="38" spans="1:10" s="934" customFormat="1" ht="14" x14ac:dyDescent="0.3">
      <c r="A38" s="944" t="s">
        <v>588</v>
      </c>
      <c r="B38" s="941" t="s">
        <v>794</v>
      </c>
      <c r="C38" s="941" t="s">
        <v>589</v>
      </c>
      <c r="D38" s="941" t="s">
        <v>590</v>
      </c>
      <c r="E38" s="941" t="s">
        <v>583</v>
      </c>
      <c r="F38" s="935"/>
      <c r="I38" s="938"/>
      <c r="J38" s="933"/>
    </row>
    <row r="39" spans="1:10" s="934" customFormat="1" ht="14" x14ac:dyDescent="0.3">
      <c r="A39" s="944" t="s">
        <v>588</v>
      </c>
      <c r="B39" s="941" t="s">
        <v>794</v>
      </c>
      <c r="C39" s="941" t="s">
        <v>591</v>
      </c>
      <c r="D39" s="941" t="s">
        <v>592</v>
      </c>
      <c r="E39" s="941" t="s">
        <v>583</v>
      </c>
      <c r="F39" s="933"/>
      <c r="I39" s="938"/>
      <c r="J39" s="933"/>
    </row>
    <row r="40" spans="1:10" s="934" customFormat="1" ht="14" x14ac:dyDescent="0.3">
      <c r="A40" s="944" t="s">
        <v>593</v>
      </c>
      <c r="B40" s="941" t="s">
        <v>1045</v>
      </c>
      <c r="C40" s="941" t="s">
        <v>594</v>
      </c>
      <c r="D40" s="941" t="s">
        <v>595</v>
      </c>
      <c r="E40" s="941" t="s">
        <v>583</v>
      </c>
      <c r="F40" s="933"/>
      <c r="I40" s="938"/>
      <c r="J40" s="933"/>
    </row>
    <row r="41" spans="1:10" s="934" customFormat="1" ht="14" x14ac:dyDescent="0.3">
      <c r="A41" s="944" t="s">
        <v>596</v>
      </c>
      <c r="B41" s="941" t="s">
        <v>1036</v>
      </c>
      <c r="C41" s="941" t="s">
        <v>597</v>
      </c>
      <c r="D41" s="941" t="s">
        <v>598</v>
      </c>
      <c r="E41" s="941" t="s">
        <v>583</v>
      </c>
      <c r="F41" s="933"/>
      <c r="I41" s="938"/>
      <c r="J41" s="933"/>
    </row>
    <row r="42" spans="1:10" s="934" customFormat="1" ht="14" x14ac:dyDescent="0.3">
      <c r="A42" s="944" t="s">
        <v>599</v>
      </c>
      <c r="B42" s="941" t="s">
        <v>1252</v>
      </c>
      <c r="C42" s="941" t="s">
        <v>600</v>
      </c>
      <c r="D42" s="941" t="s">
        <v>907</v>
      </c>
      <c r="E42" s="941" t="s">
        <v>908</v>
      </c>
      <c r="F42" s="935"/>
      <c r="I42" s="938"/>
      <c r="J42" s="933"/>
    </row>
    <row r="43" spans="1:10" s="934" customFormat="1" ht="14" x14ac:dyDescent="0.3">
      <c r="A43" s="944" t="s">
        <v>599</v>
      </c>
      <c r="B43" s="941" t="s">
        <v>1252</v>
      </c>
      <c r="C43" s="941" t="s">
        <v>909</v>
      </c>
      <c r="D43" s="941" t="s">
        <v>1254</v>
      </c>
      <c r="E43" s="941" t="s">
        <v>908</v>
      </c>
      <c r="F43" s="933"/>
      <c r="I43" s="938"/>
      <c r="J43" s="935"/>
    </row>
    <row r="44" spans="1:10" s="934" customFormat="1" ht="14" x14ac:dyDescent="0.3">
      <c r="A44" s="944" t="s">
        <v>910</v>
      </c>
      <c r="B44" s="941" t="s">
        <v>911</v>
      </c>
      <c r="C44" s="941" t="s">
        <v>912</v>
      </c>
      <c r="D44" s="941" t="s">
        <v>913</v>
      </c>
      <c r="E44" s="941" t="s">
        <v>908</v>
      </c>
      <c r="F44" s="933"/>
      <c r="I44" s="938"/>
      <c r="J44" s="933"/>
    </row>
    <row r="45" spans="1:10" s="934" customFormat="1" ht="14" x14ac:dyDescent="0.3">
      <c r="A45" s="944" t="s">
        <v>914</v>
      </c>
      <c r="B45" s="941" t="s">
        <v>1261</v>
      </c>
      <c r="C45" s="941" t="s">
        <v>915</v>
      </c>
      <c r="D45" s="941" t="s">
        <v>1264</v>
      </c>
      <c r="E45" s="941" t="s">
        <v>908</v>
      </c>
      <c r="F45" s="933"/>
      <c r="I45" s="938"/>
      <c r="J45" s="933"/>
    </row>
    <row r="46" spans="1:10" s="934" customFormat="1" ht="14" x14ac:dyDescent="0.3">
      <c r="A46" s="944" t="s">
        <v>916</v>
      </c>
      <c r="B46" s="941" t="s">
        <v>925</v>
      </c>
      <c r="C46" s="941" t="s">
        <v>917</v>
      </c>
      <c r="D46" s="941" t="s">
        <v>918</v>
      </c>
      <c r="E46" s="941" t="s">
        <v>908</v>
      </c>
      <c r="F46" s="935"/>
      <c r="I46" s="938"/>
      <c r="J46" s="933"/>
    </row>
    <row r="47" spans="1:10" s="934" customFormat="1" ht="14" x14ac:dyDescent="0.3">
      <c r="A47" s="944" t="s">
        <v>919</v>
      </c>
      <c r="B47" s="941" t="s">
        <v>931</v>
      </c>
      <c r="C47" s="941" t="s">
        <v>603</v>
      </c>
      <c r="D47" s="941" t="s">
        <v>604</v>
      </c>
      <c r="E47" s="941" t="s">
        <v>908</v>
      </c>
      <c r="F47" s="933"/>
      <c r="I47" s="938"/>
      <c r="J47" s="933"/>
    </row>
    <row r="48" spans="1:10" s="934" customFormat="1" ht="14" x14ac:dyDescent="0.3">
      <c r="A48" s="944" t="s">
        <v>605</v>
      </c>
      <c r="B48" s="941" t="s">
        <v>606</v>
      </c>
      <c r="C48" s="941" t="s">
        <v>607</v>
      </c>
      <c r="D48" s="941" t="s">
        <v>608</v>
      </c>
      <c r="E48" s="941" t="s">
        <v>908</v>
      </c>
      <c r="F48" s="933"/>
      <c r="I48" s="938"/>
      <c r="J48" s="933"/>
    </row>
    <row r="49" spans="1:11" s="934" customFormat="1" ht="14" x14ac:dyDescent="0.3">
      <c r="A49" s="944" t="s">
        <v>609</v>
      </c>
      <c r="B49" s="941" t="s">
        <v>610</v>
      </c>
      <c r="C49" s="941" t="s">
        <v>611</v>
      </c>
      <c r="D49" s="941" t="s">
        <v>612</v>
      </c>
      <c r="E49" s="941" t="s">
        <v>908</v>
      </c>
      <c r="F49" s="933"/>
      <c r="I49" s="938"/>
      <c r="J49" s="939"/>
      <c r="K49" s="940"/>
    </row>
    <row r="50" spans="1:11" s="934" customFormat="1" ht="14" x14ac:dyDescent="0.3">
      <c r="A50" s="944" t="s">
        <v>613</v>
      </c>
      <c r="B50" s="941" t="s">
        <v>1184</v>
      </c>
      <c r="C50" s="941" t="s">
        <v>614</v>
      </c>
      <c r="D50" s="941" t="s">
        <v>615</v>
      </c>
      <c r="E50" s="941" t="s">
        <v>616</v>
      </c>
      <c r="F50" s="935"/>
      <c r="I50" s="938"/>
      <c r="J50" s="935"/>
    </row>
    <row r="51" spans="1:11" s="934" customFormat="1" ht="14" x14ac:dyDescent="0.3">
      <c r="A51" s="944" t="s">
        <v>617</v>
      </c>
      <c r="B51" s="941" t="s">
        <v>1359</v>
      </c>
      <c r="C51" s="941" t="s">
        <v>618</v>
      </c>
      <c r="D51" s="941" t="s">
        <v>619</v>
      </c>
      <c r="E51" s="941" t="s">
        <v>616</v>
      </c>
      <c r="F51" s="933"/>
      <c r="I51" s="938"/>
      <c r="J51" s="933"/>
    </row>
    <row r="52" spans="1:11" s="934" customFormat="1" ht="14" x14ac:dyDescent="0.3">
      <c r="A52" s="944" t="s">
        <v>620</v>
      </c>
      <c r="B52" s="941" t="s">
        <v>1184</v>
      </c>
      <c r="C52" s="941" t="s">
        <v>621</v>
      </c>
      <c r="D52" s="941" t="s">
        <v>622</v>
      </c>
      <c r="E52" s="941" t="s">
        <v>616</v>
      </c>
      <c r="F52" s="933"/>
      <c r="I52" s="938"/>
      <c r="J52" s="933"/>
    </row>
    <row r="53" spans="1:11" s="934" customFormat="1" ht="14" x14ac:dyDescent="0.3">
      <c r="A53" s="944" t="s">
        <v>623</v>
      </c>
      <c r="B53" s="941" t="s">
        <v>531</v>
      </c>
      <c r="C53" s="941" t="s">
        <v>624</v>
      </c>
      <c r="D53" s="941" t="s">
        <v>625</v>
      </c>
      <c r="E53" s="941" t="s">
        <v>616</v>
      </c>
      <c r="F53" s="933"/>
      <c r="I53" s="938"/>
      <c r="J53" s="933"/>
    </row>
    <row r="54" spans="1:11" s="934" customFormat="1" ht="14" x14ac:dyDescent="0.3">
      <c r="A54" s="944" t="s">
        <v>626</v>
      </c>
      <c r="B54" s="941" t="s">
        <v>1187</v>
      </c>
      <c r="C54" s="941" t="s">
        <v>627</v>
      </c>
      <c r="D54" s="941" t="s">
        <v>628</v>
      </c>
      <c r="E54" s="941" t="s">
        <v>616</v>
      </c>
      <c r="F54" s="935"/>
      <c r="I54" s="938"/>
      <c r="J54" s="935"/>
    </row>
    <row r="55" spans="1:11" s="934" customFormat="1" ht="14" x14ac:dyDescent="0.3">
      <c r="A55" s="944" t="s">
        <v>629</v>
      </c>
      <c r="B55" s="941" t="s">
        <v>774</v>
      </c>
      <c r="C55" s="941" t="s">
        <v>329</v>
      </c>
      <c r="D55" s="941" t="s">
        <v>330</v>
      </c>
      <c r="E55" s="941" t="s">
        <v>616</v>
      </c>
      <c r="F55" s="933"/>
      <c r="I55" s="938"/>
      <c r="J55" s="933"/>
    </row>
    <row r="56" spans="1:11" s="934" customFormat="1" ht="14" x14ac:dyDescent="0.3">
      <c r="A56" s="944" t="s">
        <v>331</v>
      </c>
      <c r="B56" s="941" t="s">
        <v>1337</v>
      </c>
      <c r="C56" s="941" t="s">
        <v>332</v>
      </c>
      <c r="D56" s="941" t="s">
        <v>333</v>
      </c>
      <c r="E56" s="941" t="s">
        <v>616</v>
      </c>
      <c r="F56" s="933"/>
      <c r="I56" s="938"/>
      <c r="J56" s="933"/>
    </row>
    <row r="57" spans="1:11" s="934" customFormat="1" ht="14" x14ac:dyDescent="0.3">
      <c r="A57" s="944" t="s">
        <v>334</v>
      </c>
      <c r="B57" s="941" t="s">
        <v>527</v>
      </c>
      <c r="C57" s="941" t="s">
        <v>335</v>
      </c>
      <c r="D57" s="941" t="s">
        <v>529</v>
      </c>
      <c r="E57" s="941" t="s">
        <v>616</v>
      </c>
      <c r="F57" s="933"/>
      <c r="I57" s="938"/>
      <c r="J57" s="933"/>
    </row>
    <row r="58" spans="1:11" s="934" customFormat="1" ht="14" x14ac:dyDescent="0.3">
      <c r="A58" s="944" t="s">
        <v>336</v>
      </c>
      <c r="B58" s="941" t="s">
        <v>1340</v>
      </c>
      <c r="C58" s="941" t="s">
        <v>337</v>
      </c>
      <c r="D58" s="941" t="s">
        <v>338</v>
      </c>
      <c r="E58" s="941" t="s">
        <v>616</v>
      </c>
      <c r="F58" s="935"/>
      <c r="I58" s="938"/>
      <c r="J58" s="935"/>
    </row>
    <row r="59" spans="1:11" s="934" customFormat="1" ht="14" x14ac:dyDescent="0.3">
      <c r="A59" s="944" t="s">
        <v>336</v>
      </c>
      <c r="B59" s="941" t="s">
        <v>1340</v>
      </c>
      <c r="C59" s="941" t="s">
        <v>339</v>
      </c>
      <c r="D59" s="941" t="s">
        <v>340</v>
      </c>
      <c r="E59" s="941" t="s">
        <v>616</v>
      </c>
      <c r="F59" s="933"/>
      <c r="I59" s="938"/>
      <c r="J59" s="933"/>
    </row>
    <row r="60" spans="1:11" s="934" customFormat="1" ht="14" x14ac:dyDescent="0.3">
      <c r="A60" s="944" t="s">
        <v>341</v>
      </c>
      <c r="B60" s="941" t="s">
        <v>1353</v>
      </c>
      <c r="C60" s="941" t="s">
        <v>342</v>
      </c>
      <c r="D60" s="941" t="s">
        <v>343</v>
      </c>
      <c r="E60" s="941" t="s">
        <v>616</v>
      </c>
      <c r="F60" s="933"/>
      <c r="I60" s="938"/>
      <c r="J60" s="933"/>
    </row>
    <row r="61" spans="1:11" s="934" customFormat="1" ht="14" x14ac:dyDescent="0.3">
      <c r="A61" s="944" t="s">
        <v>344</v>
      </c>
      <c r="B61" s="941" t="s">
        <v>1193</v>
      </c>
      <c r="C61" s="941" t="s">
        <v>345</v>
      </c>
      <c r="D61" s="941" t="s">
        <v>346</v>
      </c>
      <c r="E61" s="941" t="s">
        <v>616</v>
      </c>
      <c r="F61" s="933"/>
      <c r="I61" s="938"/>
      <c r="J61" s="933"/>
    </row>
    <row r="62" spans="1:11" s="934" customFormat="1" ht="14" x14ac:dyDescent="0.3">
      <c r="A62" s="944" t="s">
        <v>347</v>
      </c>
      <c r="B62" s="941" t="s">
        <v>818</v>
      </c>
      <c r="C62" s="941" t="s">
        <v>348</v>
      </c>
      <c r="D62" s="941" t="s">
        <v>820</v>
      </c>
      <c r="E62" s="941" t="s">
        <v>616</v>
      </c>
      <c r="F62" s="933"/>
      <c r="I62" s="938"/>
      <c r="J62" s="935"/>
    </row>
    <row r="63" spans="1:11" s="934" customFormat="1" ht="14" x14ac:dyDescent="0.3">
      <c r="A63" s="944" t="s">
        <v>349</v>
      </c>
      <c r="B63" s="941" t="s">
        <v>966</v>
      </c>
      <c r="C63" s="941" t="s">
        <v>1854</v>
      </c>
      <c r="D63" s="941" t="s">
        <v>1855</v>
      </c>
      <c r="E63" s="941" t="s">
        <v>1856</v>
      </c>
      <c r="F63" s="933"/>
      <c r="I63" s="938"/>
      <c r="J63" s="933"/>
    </row>
    <row r="64" spans="1:11" s="934" customFormat="1" ht="14" x14ac:dyDescent="0.3">
      <c r="A64" s="944" t="s">
        <v>349</v>
      </c>
      <c r="B64" s="941" t="s">
        <v>966</v>
      </c>
      <c r="C64" s="941" t="s">
        <v>1857</v>
      </c>
      <c r="D64" s="941" t="s">
        <v>1858</v>
      </c>
      <c r="E64" s="941" t="s">
        <v>1856</v>
      </c>
      <c r="F64" s="933"/>
      <c r="I64" s="938"/>
      <c r="J64" s="933"/>
    </row>
    <row r="65" spans="1:10" s="934" customFormat="1" ht="14" x14ac:dyDescent="0.3">
      <c r="A65" s="944" t="s">
        <v>349</v>
      </c>
      <c r="B65" s="941" t="s">
        <v>966</v>
      </c>
      <c r="C65" s="941" t="s">
        <v>1859</v>
      </c>
      <c r="D65" s="941" t="s">
        <v>1584</v>
      </c>
      <c r="E65" s="941" t="s">
        <v>1856</v>
      </c>
      <c r="F65" s="933"/>
      <c r="I65" s="938"/>
      <c r="J65" s="933"/>
    </row>
    <row r="66" spans="1:10" s="934" customFormat="1" ht="14" x14ac:dyDescent="0.3">
      <c r="A66" s="944" t="s">
        <v>349</v>
      </c>
      <c r="B66" s="941" t="s">
        <v>966</v>
      </c>
      <c r="C66" s="941" t="s">
        <v>1860</v>
      </c>
      <c r="D66" s="941" t="s">
        <v>1861</v>
      </c>
      <c r="E66" s="941" t="s">
        <v>1856</v>
      </c>
      <c r="F66" s="935"/>
      <c r="I66" s="938"/>
      <c r="J66" s="935"/>
    </row>
    <row r="67" spans="1:10" s="934" customFormat="1" ht="14" x14ac:dyDescent="0.3">
      <c r="A67" s="944" t="s">
        <v>1862</v>
      </c>
      <c r="B67" s="941" t="s">
        <v>1863</v>
      </c>
      <c r="C67" s="941" t="s">
        <v>1864</v>
      </c>
      <c r="D67" s="941" t="s">
        <v>1794</v>
      </c>
      <c r="E67" s="941" t="s">
        <v>1856</v>
      </c>
      <c r="F67" s="933"/>
      <c r="I67" s="938"/>
      <c r="J67" s="933"/>
    </row>
    <row r="68" spans="1:10" s="934" customFormat="1" ht="14" x14ac:dyDescent="0.3">
      <c r="A68" s="944" t="s">
        <v>1865</v>
      </c>
      <c r="B68" s="941" t="s">
        <v>984</v>
      </c>
      <c r="C68" s="941" t="s">
        <v>1866</v>
      </c>
      <c r="D68" s="941" t="s">
        <v>1867</v>
      </c>
      <c r="E68" s="941" t="s">
        <v>1856</v>
      </c>
      <c r="F68" s="933"/>
      <c r="I68" s="938"/>
      <c r="J68" s="933"/>
    </row>
    <row r="69" spans="1:10" s="934" customFormat="1" ht="14" x14ac:dyDescent="0.3">
      <c r="A69" s="944" t="s">
        <v>1868</v>
      </c>
      <c r="B69" s="941" t="s">
        <v>993</v>
      </c>
      <c r="C69" s="941" t="s">
        <v>1869</v>
      </c>
      <c r="D69" s="941" t="s">
        <v>1870</v>
      </c>
      <c r="E69" s="941" t="s">
        <v>1856</v>
      </c>
      <c r="F69" s="933"/>
      <c r="I69" s="938"/>
      <c r="J69" s="933"/>
    </row>
    <row r="70" spans="1:10" s="934" customFormat="1" ht="14" x14ac:dyDescent="0.3">
      <c r="A70" s="944" t="s">
        <v>1871</v>
      </c>
      <c r="B70" s="941" t="s">
        <v>990</v>
      </c>
      <c r="C70" s="941" t="s">
        <v>1872</v>
      </c>
      <c r="D70" s="941" t="s">
        <v>1873</v>
      </c>
      <c r="E70" s="941" t="s">
        <v>1856</v>
      </c>
      <c r="F70" s="933"/>
      <c r="I70" s="938"/>
      <c r="J70" s="935"/>
    </row>
    <row r="71" spans="1:10" s="934" customFormat="1" ht="14" x14ac:dyDescent="0.3">
      <c r="A71" s="944" t="s">
        <v>1871</v>
      </c>
      <c r="B71" s="941" t="s">
        <v>990</v>
      </c>
      <c r="C71" s="941" t="s">
        <v>1874</v>
      </c>
      <c r="D71" s="941" t="s">
        <v>1875</v>
      </c>
      <c r="E71" s="941" t="s">
        <v>1856</v>
      </c>
      <c r="F71" s="933"/>
      <c r="I71" s="938"/>
      <c r="J71" s="933"/>
    </row>
    <row r="72" spans="1:10" s="934" customFormat="1" ht="14" x14ac:dyDescent="0.3">
      <c r="A72" s="944" t="s">
        <v>1876</v>
      </c>
      <c r="B72" s="941" t="s">
        <v>1727</v>
      </c>
      <c r="C72" s="941" t="s">
        <v>1877</v>
      </c>
      <c r="D72" s="941" t="s">
        <v>1878</v>
      </c>
      <c r="E72" s="941" t="s">
        <v>1856</v>
      </c>
      <c r="F72" s="933"/>
      <c r="I72" s="938"/>
      <c r="J72" s="933"/>
    </row>
    <row r="73" spans="1:10" s="934" customFormat="1" ht="14" x14ac:dyDescent="0.3">
      <c r="A73" s="944" t="s">
        <v>1879</v>
      </c>
      <c r="B73" s="941" t="s">
        <v>1796</v>
      </c>
      <c r="C73" s="941" t="s">
        <v>587</v>
      </c>
      <c r="D73" s="941" t="s">
        <v>1880</v>
      </c>
      <c r="E73" s="941" t="s">
        <v>1856</v>
      </c>
      <c r="F73" s="933"/>
      <c r="I73" s="938"/>
      <c r="J73" s="933"/>
    </row>
    <row r="74" spans="1:10" s="934" customFormat="1" ht="14" x14ac:dyDescent="0.3">
      <c r="A74" s="944" t="s">
        <v>1881</v>
      </c>
      <c r="B74" s="941" t="s">
        <v>972</v>
      </c>
      <c r="C74" s="941" t="s">
        <v>1882</v>
      </c>
      <c r="D74" s="941" t="s">
        <v>1883</v>
      </c>
      <c r="E74" s="941" t="s">
        <v>1856</v>
      </c>
      <c r="F74" s="935"/>
      <c r="I74" s="938"/>
      <c r="J74" s="933"/>
    </row>
    <row r="75" spans="1:10" s="934" customFormat="1" ht="14" x14ac:dyDescent="0.3">
      <c r="A75" s="944" t="s">
        <v>1884</v>
      </c>
      <c r="B75" s="941" t="s">
        <v>1799</v>
      </c>
      <c r="C75" s="941" t="s">
        <v>1885</v>
      </c>
      <c r="D75" s="941" t="s">
        <v>1801</v>
      </c>
      <c r="E75" s="941" t="s">
        <v>1856</v>
      </c>
      <c r="F75" s="933"/>
      <c r="I75" s="938"/>
      <c r="J75" s="933"/>
    </row>
    <row r="76" spans="1:10" s="934" customFormat="1" ht="14" x14ac:dyDescent="0.3">
      <c r="A76" s="944" t="s">
        <v>1886</v>
      </c>
      <c r="B76" s="941" t="s">
        <v>1585</v>
      </c>
      <c r="C76" s="941" t="s">
        <v>1887</v>
      </c>
      <c r="D76" s="941" t="s">
        <v>1888</v>
      </c>
      <c r="E76" s="941" t="s">
        <v>1856</v>
      </c>
      <c r="F76" s="933"/>
      <c r="I76" s="938"/>
      <c r="J76" s="933"/>
    </row>
    <row r="77" spans="1:10" s="934" customFormat="1" ht="14" x14ac:dyDescent="0.3">
      <c r="A77" s="944" t="s">
        <v>1889</v>
      </c>
      <c r="B77" s="941" t="s">
        <v>1890</v>
      </c>
      <c r="C77" s="941" t="s">
        <v>93</v>
      </c>
      <c r="D77" s="941" t="s">
        <v>94</v>
      </c>
      <c r="E77" s="941" t="s">
        <v>95</v>
      </c>
      <c r="F77" s="933"/>
      <c r="I77" s="938"/>
      <c r="J77" s="933"/>
    </row>
    <row r="78" spans="1:10" s="934" customFormat="1" ht="14" x14ac:dyDescent="0.3">
      <c r="A78" s="944" t="s">
        <v>96</v>
      </c>
      <c r="B78" s="941" t="s">
        <v>680</v>
      </c>
      <c r="C78" s="941" t="s">
        <v>97</v>
      </c>
      <c r="D78" s="941" t="s">
        <v>98</v>
      </c>
      <c r="E78" s="941" t="s">
        <v>95</v>
      </c>
      <c r="F78" s="935"/>
      <c r="I78" s="938"/>
      <c r="J78" s="935"/>
    </row>
    <row r="79" spans="1:10" s="934" customFormat="1" ht="14" x14ac:dyDescent="0.3">
      <c r="A79" s="944" t="s">
        <v>99</v>
      </c>
      <c r="B79" s="941" t="s">
        <v>1441</v>
      </c>
      <c r="C79" s="941" t="s">
        <v>100</v>
      </c>
      <c r="D79" s="941" t="s">
        <v>101</v>
      </c>
      <c r="E79" s="941" t="s">
        <v>102</v>
      </c>
      <c r="F79" s="933"/>
      <c r="I79" s="938"/>
      <c r="J79" s="933"/>
    </row>
    <row r="80" spans="1:10" s="934" customFormat="1" ht="14" x14ac:dyDescent="0.3">
      <c r="A80" s="944" t="s">
        <v>99</v>
      </c>
      <c r="B80" s="941" t="s">
        <v>103</v>
      </c>
      <c r="C80" s="941" t="s">
        <v>104</v>
      </c>
      <c r="D80" s="941" t="s">
        <v>105</v>
      </c>
      <c r="E80" s="941" t="s">
        <v>102</v>
      </c>
      <c r="F80" s="933"/>
      <c r="I80" s="938"/>
      <c r="J80" s="933"/>
    </row>
    <row r="81" spans="1:10" s="934" customFormat="1" ht="14" x14ac:dyDescent="0.3">
      <c r="A81" s="944" t="s">
        <v>99</v>
      </c>
      <c r="B81" s="941" t="s">
        <v>106</v>
      </c>
      <c r="C81" s="941" t="s">
        <v>107</v>
      </c>
      <c r="D81" s="941" t="s">
        <v>108</v>
      </c>
      <c r="E81" s="941" t="s">
        <v>102</v>
      </c>
      <c r="F81" s="933"/>
      <c r="I81" s="938"/>
      <c r="J81" s="933"/>
    </row>
    <row r="82" spans="1:10" s="934" customFormat="1" ht="14" x14ac:dyDescent="0.3">
      <c r="A82" s="944" t="s">
        <v>99</v>
      </c>
      <c r="B82" s="941" t="s">
        <v>109</v>
      </c>
      <c r="C82" s="941" t="s">
        <v>110</v>
      </c>
      <c r="D82" s="941" t="s">
        <v>111</v>
      </c>
      <c r="E82" s="941" t="s">
        <v>102</v>
      </c>
      <c r="F82" s="935"/>
      <c r="I82" s="938"/>
      <c r="J82" s="933"/>
    </row>
    <row r="83" spans="1:10" s="934" customFormat="1" ht="14" x14ac:dyDescent="0.3">
      <c r="A83" s="944" t="s">
        <v>112</v>
      </c>
      <c r="B83" s="941" t="s">
        <v>1095</v>
      </c>
      <c r="C83" s="941" t="s">
        <v>113</v>
      </c>
      <c r="D83" s="941" t="s">
        <v>114</v>
      </c>
      <c r="E83" s="941" t="s">
        <v>102</v>
      </c>
      <c r="F83" s="933"/>
      <c r="I83" s="938"/>
      <c r="J83" s="933"/>
    </row>
    <row r="84" spans="1:10" s="934" customFormat="1" ht="14" x14ac:dyDescent="0.3">
      <c r="A84" s="944" t="s">
        <v>115</v>
      </c>
      <c r="B84" s="941" t="s">
        <v>2242</v>
      </c>
      <c r="C84" s="941" t="s">
        <v>116</v>
      </c>
      <c r="D84" s="941" t="s">
        <v>117</v>
      </c>
      <c r="E84" s="941" t="s">
        <v>102</v>
      </c>
      <c r="F84" s="933"/>
      <c r="I84" s="938"/>
      <c r="J84" s="933"/>
    </row>
    <row r="85" spans="1:10" s="934" customFormat="1" ht="14" x14ac:dyDescent="0.3">
      <c r="A85" s="944" t="s">
        <v>118</v>
      </c>
      <c r="B85" s="941" t="s">
        <v>1098</v>
      </c>
      <c r="C85" s="941" t="s">
        <v>119</v>
      </c>
      <c r="D85" s="941" t="s">
        <v>120</v>
      </c>
      <c r="E85" s="941" t="s">
        <v>102</v>
      </c>
      <c r="F85" s="933"/>
      <c r="I85" s="938"/>
      <c r="J85" s="933"/>
    </row>
    <row r="86" spans="1:10" s="934" customFormat="1" ht="14" x14ac:dyDescent="0.3">
      <c r="A86" s="944" t="s">
        <v>121</v>
      </c>
      <c r="B86" s="941" t="s">
        <v>637</v>
      </c>
      <c r="C86" s="941" t="s">
        <v>122</v>
      </c>
      <c r="D86" s="941" t="s">
        <v>123</v>
      </c>
      <c r="E86" s="941" t="s">
        <v>102</v>
      </c>
      <c r="F86" s="935"/>
      <c r="I86" s="938"/>
      <c r="J86" s="935"/>
    </row>
    <row r="87" spans="1:10" s="934" customFormat="1" ht="14" x14ac:dyDescent="0.3">
      <c r="A87" s="944" t="s">
        <v>124</v>
      </c>
      <c r="B87" s="941" t="s">
        <v>125</v>
      </c>
      <c r="C87" s="941" t="s">
        <v>126</v>
      </c>
      <c r="D87" s="941" t="s">
        <v>127</v>
      </c>
      <c r="E87" s="941" t="s">
        <v>102</v>
      </c>
      <c r="F87" s="933"/>
      <c r="I87" s="938"/>
      <c r="J87" s="933"/>
    </row>
    <row r="88" spans="1:10" s="934" customFormat="1" ht="14" x14ac:dyDescent="0.3">
      <c r="A88" s="944" t="s">
        <v>128</v>
      </c>
      <c r="B88" s="941" t="s">
        <v>2248</v>
      </c>
      <c r="C88" s="941" t="s">
        <v>129</v>
      </c>
      <c r="D88" s="941" t="s">
        <v>130</v>
      </c>
      <c r="E88" s="941" t="s">
        <v>102</v>
      </c>
      <c r="F88" s="933"/>
      <c r="I88" s="938"/>
      <c r="J88" s="933"/>
    </row>
    <row r="89" spans="1:10" s="934" customFormat="1" ht="14" x14ac:dyDescent="0.3">
      <c r="A89" s="944" t="s">
        <v>131</v>
      </c>
      <c r="B89" s="941" t="s">
        <v>2265</v>
      </c>
      <c r="C89" s="941" t="s">
        <v>132</v>
      </c>
      <c r="D89" s="941" t="s">
        <v>133</v>
      </c>
      <c r="E89" s="941" t="s">
        <v>102</v>
      </c>
      <c r="F89" s="933"/>
      <c r="I89" s="938"/>
      <c r="J89" s="933"/>
    </row>
    <row r="90" spans="1:10" s="934" customFormat="1" ht="14" x14ac:dyDescent="0.3">
      <c r="A90" s="944" t="s">
        <v>134</v>
      </c>
      <c r="B90" s="941" t="s">
        <v>727</v>
      </c>
      <c r="C90" s="941" t="s">
        <v>135</v>
      </c>
      <c r="D90" s="941" t="s">
        <v>136</v>
      </c>
      <c r="E90" s="941" t="s">
        <v>137</v>
      </c>
      <c r="F90" s="935"/>
      <c r="I90" s="938"/>
      <c r="J90" s="935"/>
    </row>
    <row r="91" spans="1:10" s="934" customFormat="1" ht="14" x14ac:dyDescent="0.3">
      <c r="A91" s="944" t="s">
        <v>134</v>
      </c>
      <c r="B91" s="941" t="s">
        <v>727</v>
      </c>
      <c r="C91" s="941" t="s">
        <v>1626</v>
      </c>
      <c r="D91" s="941" t="s">
        <v>1627</v>
      </c>
      <c r="E91" s="941" t="s">
        <v>137</v>
      </c>
      <c r="F91" s="933"/>
      <c r="I91" s="938"/>
      <c r="J91" s="933"/>
    </row>
    <row r="92" spans="1:10" s="934" customFormat="1" ht="14" x14ac:dyDescent="0.3">
      <c r="A92" s="944" t="s">
        <v>1628</v>
      </c>
      <c r="B92" s="941" t="s">
        <v>1629</v>
      </c>
      <c r="C92" s="941" t="s">
        <v>1630</v>
      </c>
      <c r="D92" s="941" t="s">
        <v>1631</v>
      </c>
      <c r="E92" s="941" t="s">
        <v>137</v>
      </c>
      <c r="F92" s="933"/>
      <c r="I92" s="938"/>
      <c r="J92" s="933"/>
    </row>
    <row r="93" spans="1:10" s="934" customFormat="1" ht="14" x14ac:dyDescent="0.3">
      <c r="A93" s="944" t="s">
        <v>1632</v>
      </c>
      <c r="B93" s="941" t="s">
        <v>1633</v>
      </c>
      <c r="C93" s="941" t="s">
        <v>1634</v>
      </c>
      <c r="D93" s="941" t="s">
        <v>1635</v>
      </c>
      <c r="E93" s="941" t="s">
        <v>137</v>
      </c>
      <c r="F93" s="933"/>
      <c r="I93" s="938"/>
      <c r="J93" s="933"/>
    </row>
    <row r="94" spans="1:10" s="934" customFormat="1" ht="14" x14ac:dyDescent="0.3">
      <c r="A94" s="944" t="s">
        <v>1636</v>
      </c>
      <c r="B94" s="941" t="s">
        <v>746</v>
      </c>
      <c r="C94" s="941" t="s">
        <v>1637</v>
      </c>
      <c r="D94" s="941" t="s">
        <v>1638</v>
      </c>
      <c r="E94" s="941" t="s">
        <v>137</v>
      </c>
      <c r="F94" s="933"/>
      <c r="I94" s="938"/>
      <c r="J94" s="935"/>
    </row>
    <row r="95" spans="1:10" s="934" customFormat="1" ht="14" x14ac:dyDescent="0.3">
      <c r="A95" s="944" t="s">
        <v>1639</v>
      </c>
      <c r="B95" s="941" t="s">
        <v>1640</v>
      </c>
      <c r="C95" s="941" t="s">
        <v>1641</v>
      </c>
      <c r="D95" s="941" t="s">
        <v>1642</v>
      </c>
      <c r="E95" s="941" t="s">
        <v>137</v>
      </c>
      <c r="F95" s="933"/>
      <c r="I95" s="938"/>
      <c r="J95" s="933"/>
    </row>
    <row r="96" spans="1:10" s="934" customFormat="1" ht="14" x14ac:dyDescent="0.3">
      <c r="A96" s="944" t="s">
        <v>1643</v>
      </c>
      <c r="B96" s="941" t="s">
        <v>1294</v>
      </c>
      <c r="C96" s="941" t="s">
        <v>1644</v>
      </c>
      <c r="D96" s="941" t="s">
        <v>1645</v>
      </c>
      <c r="E96" s="941" t="s">
        <v>1646</v>
      </c>
      <c r="F96" s="933"/>
      <c r="I96" s="938"/>
      <c r="J96" s="933"/>
    </row>
    <row r="97" spans="1:10" s="934" customFormat="1" ht="14" x14ac:dyDescent="0.3">
      <c r="A97" s="944" t="s">
        <v>1643</v>
      </c>
      <c r="B97" s="941" t="s">
        <v>1294</v>
      </c>
      <c r="C97" s="941" t="s">
        <v>1647</v>
      </c>
      <c r="D97" s="941" t="s">
        <v>1648</v>
      </c>
      <c r="E97" s="941" t="s">
        <v>1646</v>
      </c>
      <c r="F97" s="935"/>
      <c r="I97" s="938"/>
      <c r="J97" s="933"/>
    </row>
    <row r="98" spans="1:10" s="934" customFormat="1" ht="14" x14ac:dyDescent="0.3">
      <c r="A98" s="944" t="s">
        <v>1649</v>
      </c>
      <c r="B98" s="941" t="s">
        <v>786</v>
      </c>
      <c r="C98" s="941" t="s">
        <v>1650</v>
      </c>
      <c r="D98" s="941" t="s">
        <v>1651</v>
      </c>
      <c r="E98" s="941" t="s">
        <v>1646</v>
      </c>
      <c r="F98" s="933"/>
      <c r="I98" s="938"/>
      <c r="J98" s="935"/>
    </row>
    <row r="99" spans="1:10" s="934" customFormat="1" ht="14" x14ac:dyDescent="0.3">
      <c r="A99" s="944" t="s">
        <v>1652</v>
      </c>
      <c r="B99" s="941" t="s">
        <v>1009</v>
      </c>
      <c r="C99" s="941" t="s">
        <v>1644</v>
      </c>
      <c r="D99" s="941" t="s">
        <v>1653</v>
      </c>
      <c r="E99" s="941" t="s">
        <v>1646</v>
      </c>
      <c r="F99" s="933"/>
      <c r="I99" s="938"/>
      <c r="J99" s="933"/>
    </row>
    <row r="100" spans="1:10" s="934" customFormat="1" ht="14" x14ac:dyDescent="0.3">
      <c r="A100" s="944" t="s">
        <v>1654</v>
      </c>
      <c r="B100" s="941" t="s">
        <v>1655</v>
      </c>
      <c r="C100" s="941" t="s">
        <v>1656</v>
      </c>
      <c r="D100" s="941" t="s">
        <v>1657</v>
      </c>
      <c r="E100" s="941" t="s">
        <v>1646</v>
      </c>
      <c r="F100" s="933"/>
      <c r="I100" s="938"/>
      <c r="J100" s="933"/>
    </row>
    <row r="101" spans="1:10" s="934" customFormat="1" ht="14" x14ac:dyDescent="0.3">
      <c r="A101" s="944" t="s">
        <v>1658</v>
      </c>
      <c r="B101" s="941" t="s">
        <v>540</v>
      </c>
      <c r="C101" s="941" t="s">
        <v>1659</v>
      </c>
      <c r="D101" s="941" t="s">
        <v>1660</v>
      </c>
      <c r="E101" s="941" t="s">
        <v>1646</v>
      </c>
      <c r="F101" s="933"/>
      <c r="I101" s="938"/>
      <c r="J101" s="933"/>
    </row>
    <row r="102" spans="1:10" s="934" customFormat="1" ht="14" x14ac:dyDescent="0.3">
      <c r="A102" s="944" t="s">
        <v>1661</v>
      </c>
      <c r="B102" s="941" t="s">
        <v>2306</v>
      </c>
      <c r="C102" s="941" t="s">
        <v>1662</v>
      </c>
      <c r="D102" s="941" t="s">
        <v>1663</v>
      </c>
      <c r="E102" s="941" t="s">
        <v>1664</v>
      </c>
      <c r="F102" s="933"/>
      <c r="I102" s="938"/>
      <c r="J102" s="935"/>
    </row>
    <row r="103" spans="1:10" s="934" customFormat="1" ht="14" x14ac:dyDescent="0.3">
      <c r="A103" s="944" t="s">
        <v>1665</v>
      </c>
      <c r="B103" s="941" t="s">
        <v>712</v>
      </c>
      <c r="C103" s="941" t="s">
        <v>1666</v>
      </c>
      <c r="D103" s="941" t="s">
        <v>1380</v>
      </c>
      <c r="E103" s="941" t="s">
        <v>1664</v>
      </c>
      <c r="F103" s="933"/>
      <c r="I103" s="938"/>
      <c r="J103" s="933"/>
    </row>
    <row r="104" spans="1:10" s="934" customFormat="1" ht="14" x14ac:dyDescent="0.3">
      <c r="A104" s="944" t="s">
        <v>1381</v>
      </c>
      <c r="B104" s="941" t="s">
        <v>1382</v>
      </c>
      <c r="C104" s="941" t="s">
        <v>1383</v>
      </c>
      <c r="D104" s="941" t="s">
        <v>1384</v>
      </c>
      <c r="E104" s="941" t="s">
        <v>1664</v>
      </c>
      <c r="F104" s="933"/>
      <c r="I104" s="938"/>
      <c r="J104" s="933"/>
    </row>
    <row r="105" spans="1:10" s="934" customFormat="1" ht="14" x14ac:dyDescent="0.3">
      <c r="A105" s="944" t="s">
        <v>1385</v>
      </c>
      <c r="B105" s="941" t="s">
        <v>1386</v>
      </c>
      <c r="C105" s="941" t="s">
        <v>1387</v>
      </c>
      <c r="D105" s="941" t="s">
        <v>1388</v>
      </c>
      <c r="E105" s="941" t="s">
        <v>1646</v>
      </c>
      <c r="F105" s="933"/>
      <c r="I105" s="938"/>
      <c r="J105" s="933"/>
    </row>
    <row r="106" spans="1:10" s="934" customFormat="1" ht="14" x14ac:dyDescent="0.3">
      <c r="A106" s="944" t="s">
        <v>1385</v>
      </c>
      <c r="B106" s="941" t="s">
        <v>1386</v>
      </c>
      <c r="C106" s="941" t="s">
        <v>1389</v>
      </c>
      <c r="D106" s="941" t="s">
        <v>1390</v>
      </c>
      <c r="E106" s="941" t="s">
        <v>1646</v>
      </c>
      <c r="F106" s="933"/>
      <c r="I106" s="938"/>
      <c r="J106" s="933"/>
    </row>
    <row r="107" spans="1:10" s="934" customFormat="1" ht="14" x14ac:dyDescent="0.3">
      <c r="A107" s="944" t="s">
        <v>1391</v>
      </c>
      <c r="B107" s="941" t="s">
        <v>1150</v>
      </c>
      <c r="C107" s="941" t="s">
        <v>1392</v>
      </c>
      <c r="D107" s="941" t="s">
        <v>1393</v>
      </c>
      <c r="E107" s="941" t="s">
        <v>1646</v>
      </c>
      <c r="F107" s="933"/>
      <c r="I107" s="938"/>
      <c r="J107" s="933"/>
    </row>
    <row r="108" spans="1:10" s="934" customFormat="1" ht="14" x14ac:dyDescent="0.3">
      <c r="A108" s="944" t="s">
        <v>1394</v>
      </c>
      <c r="B108" s="941" t="s">
        <v>1395</v>
      </c>
      <c r="C108" s="941" t="s">
        <v>1396</v>
      </c>
      <c r="D108" s="941" t="s">
        <v>1397</v>
      </c>
      <c r="E108" s="941" t="s">
        <v>1646</v>
      </c>
      <c r="F108" s="933"/>
      <c r="I108" s="938"/>
      <c r="J108" s="933"/>
    </row>
    <row r="109" spans="1:10" s="934" customFormat="1" ht="14" x14ac:dyDescent="0.3">
      <c r="A109" s="944" t="s">
        <v>1394</v>
      </c>
      <c r="B109" s="941" t="s">
        <v>1398</v>
      </c>
      <c r="C109" s="941" t="s">
        <v>1399</v>
      </c>
      <c r="D109" s="941" t="s">
        <v>1400</v>
      </c>
      <c r="E109" s="941" t="s">
        <v>1646</v>
      </c>
      <c r="F109" s="933"/>
      <c r="I109" s="938"/>
      <c r="J109" s="935"/>
    </row>
    <row r="110" spans="1:10" s="934" customFormat="1" ht="14" x14ac:dyDescent="0.3">
      <c r="A110" s="944" t="s">
        <v>1401</v>
      </c>
      <c r="B110" s="941" t="s">
        <v>1402</v>
      </c>
      <c r="C110" s="941" t="s">
        <v>1403</v>
      </c>
      <c r="D110" s="941" t="s">
        <v>1404</v>
      </c>
      <c r="E110" s="941" t="s">
        <v>1646</v>
      </c>
      <c r="F110" s="933"/>
      <c r="I110" s="938"/>
      <c r="J110" s="933"/>
    </row>
    <row r="111" spans="1:10" s="934" customFormat="1" ht="14" x14ac:dyDescent="0.3">
      <c r="A111" s="944" t="s">
        <v>1405</v>
      </c>
      <c r="B111" s="941" t="s">
        <v>1281</v>
      </c>
      <c r="C111" s="941" t="s">
        <v>1406</v>
      </c>
      <c r="D111" s="941" t="s">
        <v>1407</v>
      </c>
      <c r="E111" s="941" t="s">
        <v>1646</v>
      </c>
      <c r="F111" s="933"/>
      <c r="I111" s="938"/>
      <c r="J111" s="933"/>
    </row>
    <row r="112" spans="1:10" s="934" customFormat="1" ht="15" customHeight="1" x14ac:dyDescent="0.3">
      <c r="A112" s="944" t="s">
        <v>1408</v>
      </c>
      <c r="B112" s="941" t="s">
        <v>1590</v>
      </c>
      <c r="C112" s="941" t="s">
        <v>1409</v>
      </c>
      <c r="D112" s="941" t="s">
        <v>1410</v>
      </c>
      <c r="E112" s="941" t="s">
        <v>1646</v>
      </c>
      <c r="F112" s="933"/>
      <c r="I112" s="938"/>
      <c r="J112" s="933"/>
    </row>
    <row r="113" spans="1:10" s="934" customFormat="1" ht="20.25" customHeight="1" x14ac:dyDescent="0.3">
      <c r="A113" s="944" t="s">
        <v>1408</v>
      </c>
      <c r="B113" s="941" t="s">
        <v>1590</v>
      </c>
      <c r="C113" s="941" t="s">
        <v>1409</v>
      </c>
      <c r="D113" s="941" t="s">
        <v>1411</v>
      </c>
      <c r="E113" s="941" t="s">
        <v>1646</v>
      </c>
      <c r="F113" s="933"/>
      <c r="I113" s="938"/>
      <c r="J113" s="933"/>
    </row>
    <row r="114" spans="1:10" s="934" customFormat="1" ht="17.25" customHeight="1" x14ac:dyDescent="0.3">
      <c r="A114" s="944">
        <v>7500</v>
      </c>
      <c r="B114" s="941" t="s">
        <v>1590</v>
      </c>
      <c r="C114" s="941" t="s">
        <v>1409</v>
      </c>
      <c r="D114" s="941" t="s">
        <v>1412</v>
      </c>
      <c r="E114" s="941" t="s">
        <v>1646</v>
      </c>
      <c r="F114" s="933"/>
      <c r="I114" s="938"/>
      <c r="J114" s="933"/>
    </row>
    <row r="115" spans="1:10" s="934" customFormat="1" ht="14" x14ac:dyDescent="0.3">
      <c r="A115" s="944" t="s">
        <v>1413</v>
      </c>
      <c r="B115" s="941" t="s">
        <v>1144</v>
      </c>
      <c r="C115" s="941" t="s">
        <v>1414</v>
      </c>
      <c r="D115" s="941" t="s">
        <v>1415</v>
      </c>
      <c r="E115" s="941" t="s">
        <v>1646</v>
      </c>
      <c r="F115" s="933"/>
      <c r="I115" s="938"/>
      <c r="J115" s="933"/>
    </row>
    <row r="116" spans="1:10" s="934" customFormat="1" ht="14" x14ac:dyDescent="0.3">
      <c r="A116" s="944" t="s">
        <v>1416</v>
      </c>
      <c r="B116" s="941" t="s">
        <v>546</v>
      </c>
      <c r="C116" s="941" t="s">
        <v>1417</v>
      </c>
      <c r="D116" s="941" t="s">
        <v>1418</v>
      </c>
      <c r="E116" s="941" t="s">
        <v>1646</v>
      </c>
      <c r="F116" s="933"/>
      <c r="I116" s="938"/>
      <c r="J116" s="933"/>
    </row>
    <row r="118" spans="1:10" x14ac:dyDescent="0.25">
      <c r="B118" s="876"/>
    </row>
    <row r="126" spans="1:10" x14ac:dyDescent="0.25">
      <c r="B126" s="876"/>
    </row>
    <row r="130" spans="2:2" x14ac:dyDescent="0.25">
      <c r="B130" s="876"/>
    </row>
    <row r="134" spans="2:2" x14ac:dyDescent="0.25">
      <c r="B134" s="876"/>
    </row>
    <row r="138" spans="2:2" x14ac:dyDescent="0.25">
      <c r="B138" s="876"/>
    </row>
    <row r="142" spans="2:2" x14ac:dyDescent="0.25">
      <c r="B142" s="876"/>
    </row>
    <row r="149" spans="2:2" x14ac:dyDescent="0.25">
      <c r="B149" s="876"/>
    </row>
  </sheetData>
  <sheetProtection password="C534" sheet="1" objects="1" scenarios="1" autoFilter="0"/>
  <autoFilter ref="A3:E3" xr:uid="{00000000-0009-0000-0000-000007000000}"/>
  <mergeCells count="2">
    <mergeCell ref="A1:E1"/>
    <mergeCell ref="A2:E2"/>
  </mergeCells>
  <phoneticPr fontId="2" type="noConversion"/>
  <hyperlinks>
    <hyperlink ref="A1:E1" location="spoed2" display="Terug naar invulluik" xr:uid="{00000000-0004-0000-0700-000000000000}"/>
  </hyperlinks>
  <pageMargins left="0" right="0" top="0.59055118110236227" bottom="0.39370078740157483" header="0.31496062992125984" footer="0.11811023622047245"/>
  <pageSetup paperSize="8" orientation="landscape" r:id="rId1"/>
  <headerFooter alignWithMargins="0">
    <oddHeader>&amp;C&amp;"Arial,Bold"&amp;14ZIEKENWAGENDIENSTEN PROVINCIE ANTWERPEN</oddHeader>
    <oddFooter>&amp;R&amp;8FOD Volksgezondheid - ICM</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23">
    <tabColor indexed="10"/>
  </sheetPr>
  <dimension ref="A1:G1"/>
  <sheetViews>
    <sheetView zoomScaleNormal="100" workbookViewId="0">
      <selection sqref="A1:G1"/>
    </sheetView>
  </sheetViews>
  <sheetFormatPr defaultColWidth="19.1796875" defaultRowHeight="12.5" x14ac:dyDescent="0.25"/>
  <sheetData>
    <row r="1" spans="1:7" ht="44.25" customHeight="1" x14ac:dyDescent="0.25">
      <c r="A1" s="1491" t="s">
        <v>829</v>
      </c>
      <c r="B1" s="1492"/>
      <c r="C1" s="1492"/>
      <c r="D1" s="1492"/>
      <c r="E1" s="1492"/>
      <c r="F1" s="1492"/>
      <c r="G1" s="1492"/>
    </row>
  </sheetData>
  <sheetProtection password="C534" sheet="1" objects="1" scenarios="1"/>
  <mergeCells count="1">
    <mergeCell ref="A1:G1"/>
  </mergeCells>
  <phoneticPr fontId="2" type="noConversion"/>
  <hyperlinks>
    <hyperlink ref="A1:E1" location="spoed2" display="Terug naar invulluik" xr:uid="{00000000-0004-0000-0800-000000000000}"/>
    <hyperlink ref="A1:G1" location="toiletten2" display="Terug naar invulluik" xr:uid="{00000000-0004-0000-0800-000001000000}"/>
  </hyperlinks>
  <pageMargins left="0.41" right="0.35" top="0.39" bottom="0.43" header="0.28999999999999998" footer="0.27"/>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31</vt:i4>
      </vt:variant>
      <vt:variant>
        <vt:lpstr>Benoemde bereiken</vt:lpstr>
      </vt:variant>
      <vt:variant>
        <vt:i4>76</vt:i4>
      </vt:variant>
    </vt:vector>
  </HeadingPairs>
  <TitlesOfParts>
    <vt:vector size="107" baseType="lpstr">
      <vt:lpstr>Inlichtingen</vt:lpstr>
      <vt:lpstr>LUIK 1 - AANVRAAG</vt:lpstr>
      <vt:lpstr>LUIK 2 - RISICOVRAAG</vt:lpstr>
      <vt:lpstr>LUIK 4 - RISICO'S VGZ</vt:lpstr>
      <vt:lpstr>LUIK3 + SCORE</vt:lpstr>
      <vt:lpstr>Adressen Ziekenwagen</vt:lpstr>
      <vt:lpstr>Adressen MUG diensten</vt:lpstr>
      <vt:lpstr>Adressen Spoedgevallendiensten</vt:lpstr>
      <vt:lpstr>Toiletten</vt:lpstr>
      <vt:lpstr>LUIK Organisator</vt:lpstr>
      <vt:lpstr>Verzorgingen</vt:lpstr>
      <vt:lpstr>LUIK Rampen</vt:lpstr>
      <vt:lpstr>LUIK6</vt:lpstr>
      <vt:lpstr>LUIK7</vt:lpstr>
      <vt:lpstr>LUIK8</vt:lpstr>
      <vt:lpstr>LUIK5</vt:lpstr>
      <vt:lpstr>deel 1 brief geen advies</vt:lpstr>
      <vt:lpstr>deel 2 brief geen advies</vt:lpstr>
      <vt:lpstr>deel 1 brief</vt:lpstr>
      <vt:lpstr>deel 2 brief</vt:lpstr>
      <vt:lpstr>deel 3 brief lijst</vt:lpstr>
      <vt:lpstr>burgemeester</vt:lpstr>
      <vt:lpstr>100</vt:lpstr>
      <vt:lpstr>CIJFERS</vt:lpstr>
      <vt:lpstr>LUIK 3</vt:lpstr>
      <vt:lpstr>INTERPRETATIE</vt:lpstr>
      <vt:lpstr>RESULTATEN</vt:lpstr>
      <vt:lpstr>WERKDOC</vt:lpstr>
      <vt:lpstr>LIJST</vt:lpstr>
      <vt:lpstr>Registratie</vt:lpstr>
      <vt:lpstr>Blad1</vt:lpstr>
      <vt:lpstr>'100'!Afdrukbereik</vt:lpstr>
      <vt:lpstr>burgemeester!Afdrukbereik</vt:lpstr>
      <vt:lpstr>'deel 1 brief'!Afdrukbereik</vt:lpstr>
      <vt:lpstr>'deel 1 brief geen advies'!Afdrukbereik</vt:lpstr>
      <vt:lpstr>'deel 2 brief'!Afdrukbereik</vt:lpstr>
      <vt:lpstr>'deel 2 brief geen advies'!Afdrukbereik</vt:lpstr>
      <vt:lpstr>Inlichtingen!Afdrukbereik</vt:lpstr>
      <vt:lpstr>'LUIK 1 - AANVRAAG'!Afdrukbereik</vt:lpstr>
      <vt:lpstr>'LUIK 2 - RISICOVRAAG'!Afdrukbereik</vt:lpstr>
      <vt:lpstr>'LUIK 4 - RISICO''S VGZ'!Afdrukbereik</vt:lpstr>
      <vt:lpstr>LUIK5!Afdrukbereik</vt:lpstr>
      <vt:lpstr>WERKDOC!Afdrukbereik</vt:lpstr>
      <vt:lpstr>'Adressen MUG diensten'!Afdruktitels</vt:lpstr>
      <vt:lpstr>'Adressen Spoedgevallendiensten'!Afdruktitels</vt:lpstr>
      <vt:lpstr>'Adressen Ziekenwagen'!Afdruktitels</vt:lpstr>
      <vt:lpstr>Alcohol</vt:lpstr>
      <vt:lpstr>Bereikbaarheid</vt:lpstr>
      <vt:lpstr>Communicatie</vt:lpstr>
      <vt:lpstr>Drugs</vt:lpstr>
      <vt:lpstr>Duur</vt:lpstr>
      <vt:lpstr>Evenementen</vt:lpstr>
      <vt:lpstr>Leeftijd</vt:lpstr>
      <vt:lpstr>'Adressen MUG diensten'!MUG</vt:lpstr>
      <vt:lpstr>'Adressen Spoedgevallendiensten'!MUG</vt:lpstr>
      <vt:lpstr>MUG</vt:lpstr>
      <vt:lpstr>MUGdienst</vt:lpstr>
      <vt:lpstr>Nuts</vt:lpstr>
      <vt:lpstr>Nutsvoorziening</vt:lpstr>
      <vt:lpstr>Pathologie</vt:lpstr>
      <vt:lpstr>Publiek</vt:lpstr>
      <vt:lpstr>ramp1</vt:lpstr>
      <vt:lpstr>ramp2</vt:lpstr>
      <vt:lpstr>ramp3</vt:lpstr>
      <vt:lpstr>ramp4</vt:lpstr>
      <vt:lpstr>'Adressen MUG diensten'!SPOED</vt:lpstr>
      <vt:lpstr>'Adressen Spoedgevallendiensten'!SPOED</vt:lpstr>
      <vt:lpstr>spoed2</vt:lpstr>
      <vt:lpstr>Temperatuur</vt:lpstr>
      <vt:lpstr>toiletten2</vt:lpstr>
      <vt:lpstr>vervoer</vt:lpstr>
      <vt:lpstr>voeding</vt:lpstr>
      <vt:lpstr>waardeinzet3</vt:lpstr>
      <vt:lpstr>waardeinzet6</vt:lpstr>
      <vt:lpstr>waardeinzet7</vt:lpstr>
      <vt:lpstr>waardeinzet8</vt:lpstr>
      <vt:lpstr>waardeinzethulp6</vt:lpstr>
      <vt:lpstr>waardeinzethulp7</vt:lpstr>
      <vt:lpstr>waardeinzethulp8</vt:lpstr>
      <vt:lpstr>waardeinzetorg</vt:lpstr>
      <vt:lpstr>waardeluik1.1</vt:lpstr>
      <vt:lpstr>waardeluik2.1</vt:lpstr>
      <vt:lpstr>waardeluik2.2</vt:lpstr>
      <vt:lpstr>waardeluik3.1</vt:lpstr>
      <vt:lpstr>waardeluik3.2</vt:lpstr>
      <vt:lpstr>waardeluik3.3</vt:lpstr>
      <vt:lpstr>waardeluik3.4</vt:lpstr>
      <vt:lpstr>waardeluik4.1</vt:lpstr>
      <vt:lpstr>waardeluik4.2</vt:lpstr>
      <vt:lpstr>Waardeluik4.4</vt:lpstr>
      <vt:lpstr>waardeluik6.1</vt:lpstr>
      <vt:lpstr>waardeluik6.2</vt:lpstr>
      <vt:lpstr>waardeluik6.3</vt:lpstr>
      <vt:lpstr>waardeluik6.4</vt:lpstr>
      <vt:lpstr>waardeluik7.1</vt:lpstr>
      <vt:lpstr>waardeluik7.2</vt:lpstr>
      <vt:lpstr>waardeluik7.3</vt:lpstr>
      <vt:lpstr>waardeluik7.4</vt:lpstr>
      <vt:lpstr>waardeluik8.1</vt:lpstr>
      <vt:lpstr>waardeluik8.2</vt:lpstr>
      <vt:lpstr>waardeluik8.3</vt:lpstr>
      <vt:lpstr>waardeluik8.4</vt:lpstr>
      <vt:lpstr>waardemed4</vt:lpstr>
      <vt:lpstr>waardeorg</vt:lpstr>
      <vt:lpstr>ziekenwagen</vt:lpstr>
      <vt:lpstr>'Adressen MUG diensten'!ZW</vt:lpstr>
      <vt:lpstr>'Adressen Spoedgevallendiensten'!ZW</vt:lpstr>
    </vt:vector>
  </TitlesOfParts>
  <Company>FOD-SPF SPSCAE-VVVVL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Wim Haenen</dc:creator>
  <cp:lastModifiedBy>Vandenhende Maren</cp:lastModifiedBy>
  <cp:lastPrinted>2010-07-07T15:47:48Z</cp:lastPrinted>
  <dcterms:created xsi:type="dcterms:W3CDTF">2008-08-21T05:58:45Z</dcterms:created>
  <dcterms:modified xsi:type="dcterms:W3CDTF">2020-12-10T09:59:25Z</dcterms:modified>
</cp:coreProperties>
</file>