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drawings/drawing3.xml" ContentType="application/vnd.openxmlformats-officedocument.drawing+xml"/>
  <Override PartName="/xl/ctrlProps/ctrlProp3.xml" ContentType="application/vnd.ms-excel.controlpropertie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drawings/drawing4.xml" ContentType="application/vnd.openxmlformats-officedocument.drawing+xml"/>
  <Override PartName="/xl/ctrlProps/ctrlProp4.xml" ContentType="application/vnd.ms-excel.controlproperties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comments7.xml" ContentType="application/vnd.openxmlformats-officedocument.spreadsheetml.comments+xml"/>
  <Override PartName="/xl/threadedComments/threadedComment7.xml" ContentType="application/vnd.ms-excel.threadedcomments+xml"/>
  <Override PartName="/xl/drawings/drawing5.xml" ContentType="application/vnd.openxmlformats-officedocument.drawing+xml"/>
  <Override PartName="/xl/ctrlProps/ctrlProp5.xml" ContentType="application/vnd.ms-excel.controlproperties+xml"/>
  <Override PartName="/xl/comments8.xml" ContentType="application/vnd.openxmlformats-officedocument.spreadsheetml.comments+xml"/>
  <Override PartName="/xl/threadedComments/threadedComment8.xml" ContentType="application/vnd.ms-excel.threadedcomments+xml"/>
  <Override PartName="/xl/drawings/drawing6.xml" ContentType="application/vnd.openxmlformats-officedocument.drawing+xml"/>
  <Override PartName="/xl/ctrlProps/ctrlProp6.xml" ContentType="application/vnd.ms-excel.controlproperties+xml"/>
  <Override PartName="/xl/comments9.xml" ContentType="application/vnd.openxmlformats-officedocument.spreadsheetml.comments+xml"/>
  <Override PartName="/xl/threadedComments/threadedComment9.xml" ContentType="application/vnd.ms-excel.threadedcomments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thomasmore365-my.sharepoint.com/personal/u0114706_thomasmore_be/Documents/Bureaublad/DGW/"/>
    </mc:Choice>
  </mc:AlternateContent>
  <xr:revisionPtr revIDLastSave="0" documentId="8_{87413FDB-C8EC-4AE0-96D2-14AC6C41DC3A}" xr6:coauthVersionLast="47" xr6:coauthVersionMax="47" xr10:uidLastSave="{00000000-0000-0000-0000-000000000000}"/>
  <bookViews>
    <workbookView xWindow="-120" yWindow="-120" windowWidth="29040" windowHeight="15720" xr2:uid="{200C1B53-5267-4255-9F79-155DF6172CC9}"/>
  </bookViews>
  <sheets>
    <sheet name="Welkom" sheetId="2" r:id="rId1"/>
    <sheet name="Sc.1a Tableau basic" sheetId="11" r:id="rId2"/>
    <sheet name="Sc.1b Tableau sensordata" sheetId="7" r:id="rId3"/>
    <sheet name="Sc.1c Tableau sociodemo" sheetId="12" r:id="rId4"/>
    <sheet name="Sc.2a Zelf ontw. basic" sheetId="13" r:id="rId5"/>
    <sheet name="Sc.2b Zelf ontw. sensordata" sheetId="14" r:id="rId6"/>
    <sheet name="Sc.2c Zelf ontw. sociodemo" sheetId="15" r:id="rId7"/>
    <sheet name="Sc.3a Vendor dashboard basic" sheetId="16" r:id="rId8"/>
    <sheet name="Sc.3b Vendor sensordata" sheetId="17" r:id="rId9"/>
    <sheet name="Sc.3c Vendor sociodemos" sheetId="18" r:id="rId10"/>
    <sheet name="Vergelijking" sheetId="19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4" i="19" l="1"/>
  <c r="O34" i="19"/>
  <c r="N35" i="19"/>
  <c r="O35" i="19"/>
  <c r="N36" i="19"/>
  <c r="O36" i="19"/>
  <c r="N30" i="19"/>
  <c r="O30" i="19"/>
  <c r="N31" i="19"/>
  <c r="O31" i="19"/>
  <c r="O26" i="19"/>
  <c r="M36" i="19"/>
  <c r="M35" i="19"/>
  <c r="M34" i="19"/>
  <c r="M31" i="19"/>
  <c r="M30" i="19"/>
  <c r="I19" i="19"/>
  <c r="J19" i="19"/>
  <c r="H19" i="19"/>
  <c r="I18" i="19"/>
  <c r="J18" i="19"/>
  <c r="H18" i="19"/>
  <c r="I17" i="19"/>
  <c r="N26" i="19" s="1"/>
  <c r="J17" i="19"/>
  <c r="H17" i="19"/>
  <c r="M26" i="19" s="1"/>
  <c r="I14" i="19"/>
  <c r="J14" i="19"/>
  <c r="H14" i="19"/>
  <c r="I13" i="19"/>
  <c r="J13" i="19"/>
  <c r="H13" i="19"/>
  <c r="I12" i="19"/>
  <c r="N25" i="19" s="1"/>
  <c r="J12" i="19"/>
  <c r="O25" i="19" s="1"/>
  <c r="H12" i="19"/>
  <c r="M25" i="19" s="1"/>
  <c r="I9" i="19"/>
  <c r="J9" i="19"/>
  <c r="H9" i="19"/>
  <c r="D19" i="19"/>
  <c r="N19" i="19" s="1"/>
  <c r="E19" i="19"/>
  <c r="O19" i="19" s="1"/>
  <c r="C19" i="19"/>
  <c r="M19" i="19" s="1"/>
  <c r="D18" i="19"/>
  <c r="N14" i="19" s="1"/>
  <c r="E18" i="19"/>
  <c r="O14" i="19" s="1"/>
  <c r="C18" i="19"/>
  <c r="M14" i="19" s="1"/>
  <c r="D17" i="19"/>
  <c r="N9" i="19" s="1"/>
  <c r="E17" i="19"/>
  <c r="O9" i="19" s="1"/>
  <c r="C17" i="19"/>
  <c r="M9" i="19" s="1"/>
  <c r="D14" i="19"/>
  <c r="N18" i="19" s="1"/>
  <c r="E14" i="19"/>
  <c r="O18" i="19" s="1"/>
  <c r="C14" i="19"/>
  <c r="M18" i="19" s="1"/>
  <c r="D13" i="19"/>
  <c r="N13" i="19" s="1"/>
  <c r="E13" i="19"/>
  <c r="O13" i="19" s="1"/>
  <c r="C13" i="19"/>
  <c r="M13" i="19" s="1"/>
  <c r="D12" i="19"/>
  <c r="N8" i="19" s="1"/>
  <c r="E12" i="19"/>
  <c r="O8" i="19" s="1"/>
  <c r="C12" i="19"/>
  <c r="M8" i="19" s="1"/>
  <c r="D9" i="19"/>
  <c r="N17" i="19" s="1"/>
  <c r="E9" i="19"/>
  <c r="O17" i="19" s="1"/>
  <c r="C9" i="19"/>
  <c r="M17" i="19" s="1"/>
  <c r="D4" i="19"/>
  <c r="I4" i="19" s="1"/>
  <c r="E4" i="19"/>
  <c r="J4" i="19" s="1"/>
  <c r="C4" i="19"/>
  <c r="H4" i="19" s="1"/>
  <c r="M11" i="18" l="1"/>
  <c r="M12" i="18" s="1"/>
  <c r="L11" i="18"/>
  <c r="L12" i="18" s="1"/>
  <c r="K11" i="18"/>
  <c r="J18" i="18" s="1"/>
  <c r="J25" i="18" s="1"/>
  <c r="K8" i="18"/>
  <c r="E3" i="18" s="1"/>
  <c r="M11" i="17"/>
  <c r="L18" i="17" s="1"/>
  <c r="L25" i="17" s="1"/>
  <c r="L11" i="17"/>
  <c r="K18" i="17" s="1"/>
  <c r="K25" i="17" s="1"/>
  <c r="K11" i="17"/>
  <c r="J18" i="17" s="1"/>
  <c r="J25" i="17" s="1"/>
  <c r="K8" i="17"/>
  <c r="E3" i="17" s="1"/>
  <c r="K8" i="16"/>
  <c r="D3" i="16" s="1"/>
  <c r="D12" i="16" s="1"/>
  <c r="E3" i="16"/>
  <c r="E12" i="16" s="1"/>
  <c r="L18" i="15"/>
  <c r="L25" i="15" s="1"/>
  <c r="K18" i="15"/>
  <c r="K25" i="15" s="1"/>
  <c r="J18" i="15"/>
  <c r="J25" i="15" s="1"/>
  <c r="M12" i="15"/>
  <c r="M11" i="15"/>
  <c r="L11" i="15"/>
  <c r="L12" i="15" s="1"/>
  <c r="K11" i="15"/>
  <c r="K12" i="15" s="1"/>
  <c r="K8" i="15"/>
  <c r="E3" i="15" s="1"/>
  <c r="C3" i="15"/>
  <c r="C14" i="15" s="1"/>
  <c r="L18" i="14"/>
  <c r="L25" i="14" s="1"/>
  <c r="M11" i="14"/>
  <c r="M12" i="14" s="1"/>
  <c r="L11" i="14"/>
  <c r="L12" i="14" s="1"/>
  <c r="K11" i="14"/>
  <c r="J18" i="14" s="1"/>
  <c r="J25" i="14" s="1"/>
  <c r="L14" i="14"/>
  <c r="K14" i="14"/>
  <c r="K8" i="14"/>
  <c r="J14" i="14"/>
  <c r="E3" i="14"/>
  <c r="E14" i="14" s="1"/>
  <c r="D3" i="14"/>
  <c r="D14" i="14" s="1"/>
  <c r="C3" i="14"/>
  <c r="K8" i="13"/>
  <c r="D3" i="13" s="1"/>
  <c r="K14" i="12"/>
  <c r="L14" i="12"/>
  <c r="J14" i="12"/>
  <c r="M11" i="12"/>
  <c r="M12" i="12" s="1"/>
  <c r="L11" i="12"/>
  <c r="L12" i="12" s="1"/>
  <c r="K11" i="12"/>
  <c r="J18" i="12" s="1"/>
  <c r="J25" i="12" s="1"/>
  <c r="E11" i="12"/>
  <c r="K8" i="12"/>
  <c r="C3" i="12" s="1"/>
  <c r="M6" i="12"/>
  <c r="L6" i="12"/>
  <c r="D11" i="12" s="1"/>
  <c r="K6" i="12"/>
  <c r="C11" i="12" s="1"/>
  <c r="E3" i="12"/>
  <c r="E14" i="12" s="1"/>
  <c r="D3" i="12"/>
  <c r="D14" i="12" s="1"/>
  <c r="C2" i="12"/>
  <c r="L11" i="7"/>
  <c r="L12" i="7" s="1"/>
  <c r="M11" i="7"/>
  <c r="M12" i="7" s="1"/>
  <c r="K11" i="7"/>
  <c r="K12" i="7" s="1"/>
  <c r="K8" i="11"/>
  <c r="D3" i="11" s="1"/>
  <c r="M6" i="11"/>
  <c r="E11" i="11" s="1"/>
  <c r="L6" i="11"/>
  <c r="D11" i="11" s="1"/>
  <c r="K6" i="11"/>
  <c r="C11" i="11" s="1"/>
  <c r="C2" i="11"/>
  <c r="K8" i="7"/>
  <c r="D3" i="7" s="1"/>
  <c r="M6" i="7"/>
  <c r="E11" i="7" s="1"/>
  <c r="L6" i="7"/>
  <c r="D11" i="7" s="1"/>
  <c r="K14" i="7" s="1"/>
  <c r="K6" i="7"/>
  <c r="C11" i="7" s="1"/>
  <c r="C2" i="7"/>
  <c r="K18" i="14" l="1"/>
  <c r="K25" i="14" s="1"/>
  <c r="L18" i="12"/>
  <c r="L25" i="12" s="1"/>
  <c r="K18" i="12"/>
  <c r="K25" i="12" s="1"/>
  <c r="K15" i="7"/>
  <c r="K16" i="7" s="1"/>
  <c r="K17" i="7" s="1"/>
  <c r="K21" i="7"/>
  <c r="K22" i="7" s="1"/>
  <c r="K23" i="7" s="1"/>
  <c r="K24" i="7" s="1"/>
  <c r="D13" i="11"/>
  <c r="D18" i="11" s="1"/>
  <c r="D19" i="11" s="1"/>
  <c r="K18" i="18"/>
  <c r="K25" i="18" s="1"/>
  <c r="L18" i="18"/>
  <c r="L25" i="18" s="1"/>
  <c r="E14" i="18"/>
  <c r="L14" i="18"/>
  <c r="K12" i="18"/>
  <c r="C3" i="18"/>
  <c r="D3" i="18"/>
  <c r="E14" i="17"/>
  <c r="L14" i="17"/>
  <c r="K12" i="17"/>
  <c r="C3" i="17"/>
  <c r="L12" i="17"/>
  <c r="D3" i="17"/>
  <c r="M12" i="17"/>
  <c r="E17" i="16"/>
  <c r="E18" i="16" s="1"/>
  <c r="E19" i="16" s="1"/>
  <c r="E20" i="16" s="1"/>
  <c r="E13" i="16"/>
  <c r="E14" i="16" s="1"/>
  <c r="E15" i="16" s="1"/>
  <c r="D17" i="16"/>
  <c r="D18" i="16" s="1"/>
  <c r="D19" i="16" s="1"/>
  <c r="D20" i="16" s="1"/>
  <c r="D13" i="16"/>
  <c r="D14" i="16" s="1"/>
  <c r="D15" i="16" s="1"/>
  <c r="C3" i="16"/>
  <c r="C12" i="16" s="1"/>
  <c r="C21" i="15"/>
  <c r="C22" i="15" s="1"/>
  <c r="C23" i="15" s="1"/>
  <c r="C24" i="15" s="1"/>
  <c r="C15" i="15"/>
  <c r="C16" i="15" s="1"/>
  <c r="C17" i="15" s="1"/>
  <c r="E14" i="15"/>
  <c r="L14" i="15"/>
  <c r="J14" i="15"/>
  <c r="D3" i="15"/>
  <c r="J21" i="14"/>
  <c r="J22" i="14" s="1"/>
  <c r="J23" i="14" s="1"/>
  <c r="J24" i="14" s="1"/>
  <c r="J26" i="14" s="1"/>
  <c r="J15" i="14"/>
  <c r="J16" i="14" s="1"/>
  <c r="J17" i="14" s="1"/>
  <c r="J19" i="14" s="1"/>
  <c r="E21" i="14"/>
  <c r="E22" i="14" s="1"/>
  <c r="E23" i="14" s="1"/>
  <c r="E24" i="14" s="1"/>
  <c r="E15" i="14"/>
  <c r="E16" i="14" s="1"/>
  <c r="E17" i="14" s="1"/>
  <c r="K21" i="14"/>
  <c r="K22" i="14" s="1"/>
  <c r="K23" i="14" s="1"/>
  <c r="K24" i="14" s="1"/>
  <c r="K26" i="14" s="1"/>
  <c r="K15" i="14"/>
  <c r="K16" i="14" s="1"/>
  <c r="K17" i="14" s="1"/>
  <c r="K19" i="14" s="1"/>
  <c r="C14" i="14"/>
  <c r="L21" i="14"/>
  <c r="L22" i="14" s="1"/>
  <c r="L23" i="14" s="1"/>
  <c r="L24" i="14" s="1"/>
  <c r="L26" i="14" s="1"/>
  <c r="L15" i="14"/>
  <c r="L16" i="14" s="1"/>
  <c r="L17" i="14" s="1"/>
  <c r="L19" i="14" s="1"/>
  <c r="D21" i="14"/>
  <c r="D22" i="14" s="1"/>
  <c r="D23" i="14" s="1"/>
  <c r="D24" i="14" s="1"/>
  <c r="D15" i="14"/>
  <c r="D16" i="14" s="1"/>
  <c r="D17" i="14" s="1"/>
  <c r="K12" i="14"/>
  <c r="C3" i="13"/>
  <c r="C12" i="13" s="1"/>
  <c r="C13" i="13" s="1"/>
  <c r="C14" i="13" s="1"/>
  <c r="C15" i="13" s="1"/>
  <c r="D12" i="13"/>
  <c r="D13" i="13" s="1"/>
  <c r="D14" i="13" s="1"/>
  <c r="D15" i="13" s="1"/>
  <c r="E3" i="13"/>
  <c r="E12" i="13" s="1"/>
  <c r="J15" i="12"/>
  <c r="J16" i="12" s="1"/>
  <c r="J17" i="12" s="1"/>
  <c r="J19" i="12" s="1"/>
  <c r="J21" i="12"/>
  <c r="J22" i="12" s="1"/>
  <c r="J23" i="12" s="1"/>
  <c r="J24" i="12" s="1"/>
  <c r="J26" i="12" s="1"/>
  <c r="K21" i="12"/>
  <c r="K22" i="12" s="1"/>
  <c r="K23" i="12" s="1"/>
  <c r="K24" i="12" s="1"/>
  <c r="K26" i="12" s="1"/>
  <c r="K15" i="12"/>
  <c r="K16" i="12" s="1"/>
  <c r="K17" i="12" s="1"/>
  <c r="K19" i="12" s="1"/>
  <c r="D21" i="12"/>
  <c r="D22" i="12" s="1"/>
  <c r="D23" i="12" s="1"/>
  <c r="D24" i="12" s="1"/>
  <c r="D15" i="12"/>
  <c r="D16" i="12" s="1"/>
  <c r="D17" i="12" s="1"/>
  <c r="E21" i="12"/>
  <c r="E22" i="12" s="1"/>
  <c r="E23" i="12" s="1"/>
  <c r="E24" i="12" s="1"/>
  <c r="E15" i="12"/>
  <c r="E16" i="12" s="1"/>
  <c r="E17" i="12" s="1"/>
  <c r="C14" i="12"/>
  <c r="L21" i="12"/>
  <c r="L22" i="12" s="1"/>
  <c r="L23" i="12" s="1"/>
  <c r="L24" i="12" s="1"/>
  <c r="L26" i="12" s="1"/>
  <c r="L15" i="12"/>
  <c r="L16" i="12" s="1"/>
  <c r="L17" i="12" s="1"/>
  <c r="L19" i="12" s="1"/>
  <c r="K12" i="12"/>
  <c r="J18" i="7"/>
  <c r="L18" i="7"/>
  <c r="K18" i="7"/>
  <c r="D14" i="7"/>
  <c r="D15" i="7" s="1"/>
  <c r="E3" i="11"/>
  <c r="C3" i="11"/>
  <c r="C3" i="7"/>
  <c r="E3" i="7"/>
  <c r="E21" i="18" l="1"/>
  <c r="E22" i="18" s="1"/>
  <c r="E23" i="18" s="1"/>
  <c r="E24" i="18" s="1"/>
  <c r="E15" i="18"/>
  <c r="E16" i="18" s="1"/>
  <c r="E17" i="18" s="1"/>
  <c r="K14" i="18"/>
  <c r="D14" i="18"/>
  <c r="C14" i="18"/>
  <c r="J14" i="18"/>
  <c r="L21" i="18"/>
  <c r="L22" i="18" s="1"/>
  <c r="L23" i="18" s="1"/>
  <c r="L24" i="18" s="1"/>
  <c r="L26" i="18" s="1"/>
  <c r="L15" i="18"/>
  <c r="L16" i="18" s="1"/>
  <c r="L17" i="18" s="1"/>
  <c r="L19" i="18" s="1"/>
  <c r="D14" i="17"/>
  <c r="K14" i="17"/>
  <c r="C14" i="17"/>
  <c r="J14" i="17"/>
  <c r="L21" i="17"/>
  <c r="L22" i="17" s="1"/>
  <c r="L23" i="17" s="1"/>
  <c r="L24" i="17" s="1"/>
  <c r="L26" i="17" s="1"/>
  <c r="L15" i="17"/>
  <c r="L16" i="17" s="1"/>
  <c r="L17" i="17" s="1"/>
  <c r="L19" i="17" s="1"/>
  <c r="E21" i="17"/>
  <c r="E22" i="17" s="1"/>
  <c r="E23" i="17" s="1"/>
  <c r="E24" i="17" s="1"/>
  <c r="E15" i="17"/>
  <c r="E16" i="17" s="1"/>
  <c r="E17" i="17" s="1"/>
  <c r="C17" i="16"/>
  <c r="C18" i="16" s="1"/>
  <c r="C19" i="16" s="1"/>
  <c r="C20" i="16" s="1"/>
  <c r="C13" i="16"/>
  <c r="C14" i="16" s="1"/>
  <c r="C15" i="16" s="1"/>
  <c r="E21" i="15"/>
  <c r="E22" i="15" s="1"/>
  <c r="E23" i="15" s="1"/>
  <c r="E24" i="15" s="1"/>
  <c r="E15" i="15"/>
  <c r="E16" i="15" s="1"/>
  <c r="E17" i="15" s="1"/>
  <c r="L21" i="15"/>
  <c r="L22" i="15" s="1"/>
  <c r="L23" i="15" s="1"/>
  <c r="L24" i="15" s="1"/>
  <c r="L26" i="15" s="1"/>
  <c r="L15" i="15"/>
  <c r="L16" i="15" s="1"/>
  <c r="L17" i="15" s="1"/>
  <c r="L19" i="15" s="1"/>
  <c r="D14" i="15"/>
  <c r="K14" i="15"/>
  <c r="J21" i="15"/>
  <c r="J22" i="15" s="1"/>
  <c r="J23" i="15" s="1"/>
  <c r="J24" i="15" s="1"/>
  <c r="J26" i="15" s="1"/>
  <c r="J15" i="15"/>
  <c r="J16" i="15" s="1"/>
  <c r="J17" i="15" s="1"/>
  <c r="J19" i="15" s="1"/>
  <c r="C21" i="14"/>
  <c r="C22" i="14" s="1"/>
  <c r="C23" i="14" s="1"/>
  <c r="C24" i="14" s="1"/>
  <c r="C15" i="14"/>
  <c r="C16" i="14" s="1"/>
  <c r="C17" i="14" s="1"/>
  <c r="D17" i="13"/>
  <c r="D18" i="13" s="1"/>
  <c r="D19" i="13" s="1"/>
  <c r="D20" i="13" s="1"/>
  <c r="E13" i="13"/>
  <c r="E14" i="13" s="1"/>
  <c r="E15" i="13" s="1"/>
  <c r="E17" i="13"/>
  <c r="E18" i="13" s="1"/>
  <c r="E19" i="13" s="1"/>
  <c r="E20" i="13" s="1"/>
  <c r="C17" i="13"/>
  <c r="C18" i="13" s="1"/>
  <c r="C19" i="13" s="1"/>
  <c r="C20" i="13" s="1"/>
  <c r="C21" i="12"/>
  <c r="C22" i="12" s="1"/>
  <c r="C23" i="12" s="1"/>
  <c r="C24" i="12" s="1"/>
  <c r="C15" i="12"/>
  <c r="C16" i="12" s="1"/>
  <c r="C17" i="12" s="1"/>
  <c r="J25" i="7"/>
  <c r="K19" i="7"/>
  <c r="K25" i="7"/>
  <c r="K26" i="7" s="1"/>
  <c r="L25" i="7"/>
  <c r="E14" i="7"/>
  <c r="E21" i="7" s="1"/>
  <c r="L14" i="7"/>
  <c r="C14" i="7"/>
  <c r="C15" i="7" s="1"/>
  <c r="J14" i="7"/>
  <c r="D16" i="7"/>
  <c r="D17" i="7" s="1"/>
  <c r="D8" i="19" s="1"/>
  <c r="N12" i="19" s="1"/>
  <c r="C13" i="11"/>
  <c r="C14" i="11" s="1"/>
  <c r="C15" i="11" s="1"/>
  <c r="C16" i="11" s="1"/>
  <c r="C7" i="19" s="1"/>
  <c r="M7" i="19" s="1"/>
  <c r="E13" i="11"/>
  <c r="D14" i="11"/>
  <c r="D15" i="11" s="1"/>
  <c r="D16" i="11" s="1"/>
  <c r="D7" i="19" s="1"/>
  <c r="N7" i="19" s="1"/>
  <c r="D21" i="7"/>
  <c r="L15" i="7" l="1"/>
  <c r="L16" i="7" s="1"/>
  <c r="L17" i="7" s="1"/>
  <c r="L19" i="7" s="1"/>
  <c r="L21" i="7"/>
  <c r="L22" i="7" s="1"/>
  <c r="L23" i="7" s="1"/>
  <c r="L24" i="7" s="1"/>
  <c r="L26" i="7" s="1"/>
  <c r="J15" i="7"/>
  <c r="J16" i="7" s="1"/>
  <c r="J17" i="7" s="1"/>
  <c r="J19" i="7" s="1"/>
  <c r="J21" i="7"/>
  <c r="J22" i="7" s="1"/>
  <c r="J23" i="7" s="1"/>
  <c r="J24" i="7" s="1"/>
  <c r="J26" i="7" s="1"/>
  <c r="J21" i="18"/>
  <c r="J22" i="18" s="1"/>
  <c r="J23" i="18" s="1"/>
  <c r="J24" i="18" s="1"/>
  <c r="J26" i="18" s="1"/>
  <c r="J15" i="18"/>
  <c r="J16" i="18" s="1"/>
  <c r="J17" i="18" s="1"/>
  <c r="J19" i="18" s="1"/>
  <c r="C21" i="18"/>
  <c r="C22" i="18" s="1"/>
  <c r="C23" i="18" s="1"/>
  <c r="C24" i="18" s="1"/>
  <c r="C15" i="18"/>
  <c r="C16" i="18" s="1"/>
  <c r="C17" i="18" s="1"/>
  <c r="D21" i="18"/>
  <c r="D22" i="18" s="1"/>
  <c r="D23" i="18" s="1"/>
  <c r="D24" i="18" s="1"/>
  <c r="D15" i="18"/>
  <c r="D16" i="18" s="1"/>
  <c r="D17" i="18" s="1"/>
  <c r="K21" i="18"/>
  <c r="K22" i="18" s="1"/>
  <c r="K23" i="18" s="1"/>
  <c r="K24" i="18" s="1"/>
  <c r="K26" i="18" s="1"/>
  <c r="K15" i="18"/>
  <c r="K16" i="18" s="1"/>
  <c r="K17" i="18" s="1"/>
  <c r="K19" i="18" s="1"/>
  <c r="C21" i="17"/>
  <c r="C22" i="17" s="1"/>
  <c r="C23" i="17" s="1"/>
  <c r="C24" i="17" s="1"/>
  <c r="C15" i="17"/>
  <c r="C16" i="17" s="1"/>
  <c r="C17" i="17" s="1"/>
  <c r="J21" i="17"/>
  <c r="J22" i="17" s="1"/>
  <c r="J23" i="17" s="1"/>
  <c r="J24" i="17" s="1"/>
  <c r="J26" i="17" s="1"/>
  <c r="J15" i="17"/>
  <c r="J16" i="17" s="1"/>
  <c r="J17" i="17" s="1"/>
  <c r="J19" i="17" s="1"/>
  <c r="K21" i="17"/>
  <c r="K22" i="17" s="1"/>
  <c r="K23" i="17" s="1"/>
  <c r="K24" i="17" s="1"/>
  <c r="K26" i="17" s="1"/>
  <c r="K15" i="17"/>
  <c r="K16" i="17" s="1"/>
  <c r="K17" i="17" s="1"/>
  <c r="K19" i="17" s="1"/>
  <c r="D21" i="17"/>
  <c r="D22" i="17" s="1"/>
  <c r="D23" i="17" s="1"/>
  <c r="D24" i="17" s="1"/>
  <c r="D15" i="17"/>
  <c r="D16" i="17" s="1"/>
  <c r="D17" i="17" s="1"/>
  <c r="E18" i="11"/>
  <c r="E19" i="11" s="1"/>
  <c r="E20" i="11" s="1"/>
  <c r="E21" i="11" s="1"/>
  <c r="J7" i="19" s="1"/>
  <c r="O24" i="19" s="1"/>
  <c r="K21" i="15"/>
  <c r="K22" i="15" s="1"/>
  <c r="K23" i="15" s="1"/>
  <c r="K24" i="15" s="1"/>
  <c r="K26" i="15" s="1"/>
  <c r="K15" i="15"/>
  <c r="K16" i="15" s="1"/>
  <c r="K17" i="15" s="1"/>
  <c r="K19" i="15" s="1"/>
  <c r="D15" i="15"/>
  <c r="D16" i="15" s="1"/>
  <c r="D17" i="15" s="1"/>
  <c r="D21" i="15"/>
  <c r="D22" i="15" s="1"/>
  <c r="D23" i="15" s="1"/>
  <c r="D24" i="15" s="1"/>
  <c r="E15" i="7"/>
  <c r="E16" i="7" s="1"/>
  <c r="E17" i="7" s="1"/>
  <c r="E8" i="19" s="1"/>
  <c r="O12" i="19" s="1"/>
  <c r="C16" i="7"/>
  <c r="C17" i="7" s="1"/>
  <c r="C8" i="19" s="1"/>
  <c r="M12" i="19" s="1"/>
  <c r="E22" i="7"/>
  <c r="D22" i="7"/>
  <c r="C21" i="7"/>
  <c r="C18" i="11"/>
  <c r="C19" i="11" s="1"/>
  <c r="C20" i="11" s="1"/>
  <c r="C21" i="11" s="1"/>
  <c r="H7" i="19" s="1"/>
  <c r="M24" i="19" s="1"/>
  <c r="E14" i="11"/>
  <c r="E15" i="11" s="1"/>
  <c r="E16" i="11" s="1"/>
  <c r="E7" i="19" s="1"/>
  <c r="O7" i="19" s="1"/>
  <c r="D20" i="11"/>
  <c r="D21" i="11" s="1"/>
  <c r="I7" i="19" s="1"/>
  <c r="N24" i="19" s="1"/>
  <c r="C22" i="7" l="1"/>
  <c r="D23" i="7"/>
  <c r="D24" i="7" s="1"/>
  <c r="I8" i="19" s="1"/>
  <c r="N29" i="19" s="1"/>
  <c r="E23" i="7"/>
  <c r="E24" i="7" s="1"/>
  <c r="J8" i="19" s="1"/>
  <c r="O29" i="19" s="1"/>
  <c r="C23" i="7" l="1"/>
  <c r="C24" i="7" s="1"/>
  <c r="H8" i="19" s="1"/>
  <c r="M29" i="1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tc={1F1F732A-F978-4129-89A5-FB0DD4034E22}</author>
  </authors>
  <commentList>
    <comment ref="B18" authorId="0" shapeId="0" xr:uid="{1F1F732A-F978-4129-89A5-FB0DD4034E22}">
      <text>
        <t>[Threaded comment]
Your version of Excel allows you to read this threaded comment; however, any edits to it will get removed if the file is opened in a newer version of Excel. Learn more: https://go.microsoft.com/fwlink/?linkid=870924
Comment:
    depreciation 5y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tc={F891F602-C808-4CAA-887E-97336EDB5A93}</author>
    <author>tc={660F765A-BF0A-4A8B-9338-0A5CAF8536B5}</author>
  </authors>
  <commentList>
    <comment ref="B21" authorId="0" shapeId="0" xr:uid="{F891F602-C808-4CAA-887E-97336EDB5A93}">
      <text>
        <t>[Threaded comment]
Your version of Excel allows you to read this threaded comment; however, any edits to it will get removed if the file is opened in a newer version of Excel. Learn more: https://go.microsoft.com/fwlink/?linkid=870924
Comment:
    depreciation 5y</t>
      </text>
    </comment>
    <comment ref="I21" authorId="1" shapeId="0" xr:uid="{660F765A-BF0A-4A8B-9338-0A5CAF8536B5}">
      <text>
        <t>[Threaded comment]
Your version of Excel allows you to read this threaded comment; however, any edits to it will get removed if the file is opened in a newer version of Excel. Learn more: https://go.microsoft.com/fwlink/?linkid=870924
Comment:
    depreciation 5y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tc={F68D8871-1175-49A6-8675-8DE9B927CF55}</author>
    <author>tc={C8EAAF07-DCEE-4AD2-BC73-11DA8CD53C26}</author>
  </authors>
  <commentList>
    <comment ref="B21" authorId="0" shapeId="0" xr:uid="{F68D8871-1175-49A6-8675-8DE9B927CF55}">
      <text>
        <t>[Threaded comment]
Your version of Excel allows you to read this threaded comment; however, any edits to it will get removed if the file is opened in a newer version of Excel. Learn more: https://go.microsoft.com/fwlink/?linkid=870924
Comment:
    depreciation 5y</t>
      </text>
    </comment>
    <comment ref="I21" authorId="1" shapeId="0" xr:uid="{C8EAAF07-DCEE-4AD2-BC73-11DA8CD53C26}">
      <text>
        <t>[Threaded comment]
Your version of Excel allows you to read this threaded comment; however, any edits to it will get removed if the file is opened in a newer version of Excel. Learn more: https://go.microsoft.com/fwlink/?linkid=870924
Comment:
    depreciation 5y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tc={A66812D3-28B4-44D0-BFC4-838B93A2D082}</author>
  </authors>
  <commentList>
    <comment ref="B17" authorId="0" shapeId="0" xr:uid="{A66812D3-28B4-44D0-BFC4-838B93A2D082}">
      <text>
        <t>[Threaded comment]
Your version of Excel allows you to read this threaded comment; however, any edits to it will get removed if the file is opened in a newer version of Excel. Learn more: https://go.microsoft.com/fwlink/?linkid=870924
Comment:
    depreciation 5y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tc={F0A30FD2-7198-4B8F-A64A-16DBC7C32798}</author>
    <author>tc={7C59621A-F8F1-4341-A6DD-2707BF576836}</author>
  </authors>
  <commentList>
    <comment ref="B21" authorId="0" shapeId="0" xr:uid="{F0A30FD2-7198-4B8F-A64A-16DBC7C32798}">
      <text>
        <t>[Threaded comment]
Your version of Excel allows you to read this threaded comment; however, any edits to it will get removed if the file is opened in a newer version of Excel. Learn more: https://go.microsoft.com/fwlink/?linkid=870924
Comment:
    depreciation 5y</t>
      </text>
    </comment>
    <comment ref="I21" authorId="1" shapeId="0" xr:uid="{7C59621A-F8F1-4341-A6DD-2707BF576836}">
      <text>
        <t>[Threaded comment]
Your version of Excel allows you to read this threaded comment; however, any edits to it will get removed if the file is opened in a newer version of Excel. Learn more: https://go.microsoft.com/fwlink/?linkid=870924
Comment:
    depreciation 5y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tc={6672CF5B-13DA-415E-9F6A-2B1532076867}</author>
    <author>tc={156861B7-ACFB-4D78-886B-1BD32F6C479A}</author>
  </authors>
  <commentList>
    <comment ref="B21" authorId="0" shapeId="0" xr:uid="{6672CF5B-13DA-415E-9F6A-2B1532076867}">
      <text>
        <t>[Threaded comment]
Your version of Excel allows you to read this threaded comment; however, any edits to it will get removed if the file is opened in a newer version of Excel. Learn more: https://go.microsoft.com/fwlink/?linkid=870924
Comment:
    depreciation 5y</t>
      </text>
    </comment>
    <comment ref="I21" authorId="1" shapeId="0" xr:uid="{156861B7-ACFB-4D78-886B-1BD32F6C479A}">
      <text>
        <t>[Threaded comment]
Your version of Excel allows you to read this threaded comment; however, any edits to it will get removed if the file is opened in a newer version of Excel. Learn more: https://go.microsoft.com/fwlink/?linkid=870924
Comment:
    depreciation 5y</t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tc={92DED57F-81F2-4980-A72C-9827E0E3BEA6}</author>
  </authors>
  <commentList>
    <comment ref="B17" authorId="0" shapeId="0" xr:uid="{92DED57F-81F2-4980-A72C-9827E0E3BEA6}">
      <text>
        <t>[Threaded comment]
Your version of Excel allows you to read this threaded comment; however, any edits to it will get removed if the file is opened in a newer version of Excel. Learn more: https://go.microsoft.com/fwlink/?linkid=870924
Comment:
    depreciation 5y</t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tc={E291C428-60B4-47F8-A7B5-AFA30A6A0F98}</author>
    <author>tc={52A62B20-DC6E-4EF0-AC80-C058373E4BDD}</author>
  </authors>
  <commentList>
    <comment ref="B21" authorId="0" shapeId="0" xr:uid="{E291C428-60B4-47F8-A7B5-AFA30A6A0F98}">
      <text>
        <t>[Threaded comment]
Your version of Excel allows you to read this threaded comment; however, any edits to it will get removed if the file is opened in a newer version of Excel. Learn more: https://go.microsoft.com/fwlink/?linkid=870924
Comment:
    depreciation 5y</t>
      </text>
    </comment>
    <comment ref="I21" authorId="1" shapeId="0" xr:uid="{52A62B20-DC6E-4EF0-AC80-C058373E4BDD}">
      <text>
        <t>[Threaded comment]
Your version of Excel allows you to read this threaded comment; however, any edits to it will get removed if the file is opened in a newer version of Excel. Learn more: https://go.microsoft.com/fwlink/?linkid=870924
Comment:
    depreciation 5y</t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tc={FA78684E-24DD-46F9-A75E-8CD4CF530AAD}</author>
    <author>tc={C4904140-6ACA-471A-BFAF-FBBC8283C1E5}</author>
  </authors>
  <commentList>
    <comment ref="B21" authorId="0" shapeId="0" xr:uid="{FA78684E-24DD-46F9-A75E-8CD4CF530AAD}">
      <text>
        <t>[Threaded comment]
Your version of Excel allows you to read this threaded comment; however, any edits to it will get removed if the file is opened in a newer version of Excel. Learn more: https://go.microsoft.com/fwlink/?linkid=870924
Comment:
    depreciation 5y</t>
      </text>
    </comment>
    <comment ref="I21" authorId="1" shapeId="0" xr:uid="{C4904140-6ACA-471A-BFAF-FBBC8283C1E5}">
      <text>
        <t>[Threaded comment]
Your version of Excel allows you to read this threaded comment; however, any edits to it will get removed if the file is opened in a newer version of Excel. Learn more: https://go.microsoft.com/fwlink/?linkid=870924
Comment:
    depreciation 5y</t>
      </text>
    </comment>
  </commentList>
</comments>
</file>

<file path=xl/sharedStrings.xml><?xml version="1.0" encoding="utf-8"?>
<sst xmlns="http://schemas.openxmlformats.org/spreadsheetml/2006/main" count="578" uniqueCount="119">
  <si>
    <t>Overkoepelend</t>
  </si>
  <si>
    <t>In dit document worden drie scenario's voorgesteld die een inschatting maken van de kostprijs per gebruiker.</t>
  </si>
  <si>
    <t>Algemeen geldt dat de cellen in geel aangepast kunnen worden ter actualisatie van de berekeningen.</t>
  </si>
  <si>
    <t xml:space="preserve">De reeds ingevulde waarden zijn gebaseerd op historische cijfers, offertes en/of expertise van de onderzoekers. </t>
  </si>
  <si>
    <t>Aanvullende assumpties worden geduid waar nodig.</t>
  </si>
  <si>
    <t>Data steeds exclusief BTW</t>
  </si>
  <si>
    <t>Opbouw van de excel</t>
  </si>
  <si>
    <t>1. Investeringskost voor de ontwikkeling van het platform, opstartkost</t>
  </si>
  <si>
    <t>2. Oplijsting van bijkomende vaste kosten</t>
  </si>
  <si>
    <t>3. Resultaat 1: totale kost exclusief de (initiële) investeringskost</t>
  </si>
  <si>
    <t>4. Resultaat 2: totale kost inclusief de (initiële) investeringskost, met afschrijving over 5 jaar</t>
  </si>
  <si>
    <t>5. Inschatting aantal gebruikers</t>
  </si>
  <si>
    <t>Cijfers worden weergegeven per jaar (vb investeringskost in jaar 0)</t>
  </si>
  <si>
    <t>Op deze manier houden de scenario's rekening met groei van aantal gebruikers per jaar.</t>
  </si>
  <si>
    <t>Het vergelijkend overzicht op het laatste tabblad is puur indicatief, gebaseerd op de ingegeven cijfers en niet-aanpasbaar op dat tabblad.</t>
  </si>
  <si>
    <t>Scenarios</t>
  </si>
  <si>
    <t>Overzicht scenarios</t>
  </si>
  <si>
    <t>Basic</t>
  </si>
  <si>
    <t>Incl sensordata</t>
  </si>
  <si>
    <t>Incl. socio-demos</t>
  </si>
  <si>
    <t>Scenario 1a: tableau (bestaand via licentie)</t>
  </si>
  <si>
    <t>TABLEAU</t>
  </si>
  <si>
    <t xml:space="preserve"> 1a</t>
  </si>
  <si>
    <t xml:space="preserve"> 1b</t>
  </si>
  <si>
    <t xml:space="preserve"> 1c</t>
  </si>
  <si>
    <t>Parameters</t>
  </si>
  <si>
    <t>A. Tabel voor licentiekost per gebruiker.*</t>
  </si>
  <si>
    <t>ZELFONTWIKKELD</t>
  </si>
  <si>
    <t xml:space="preserve"> 2a</t>
  </si>
  <si>
    <t xml:space="preserve"> 2b</t>
  </si>
  <si>
    <t xml:space="preserve"> 2c</t>
  </si>
  <si>
    <t>Scenario 1b: tableau, incl. sensordata</t>
  </si>
  <si>
    <t>VENDOR</t>
  </si>
  <si>
    <t xml:space="preserve"> 3a</t>
  </si>
  <si>
    <t xml:space="preserve"> 3b</t>
  </si>
  <si>
    <t xml:space="preserve"> 3c</t>
  </si>
  <si>
    <t>B. Percentage gebruikers* dat beroep doet op upgrade voor sensordata</t>
  </si>
  <si>
    <t xml:space="preserve">Scenario 1c: tableau, incl. gebruik van socio-demografische data </t>
  </si>
  <si>
    <t>Scenario 2: zelfontwikkeld dashboard</t>
  </si>
  <si>
    <t>Ontwikkelkost + maintenance</t>
  </si>
  <si>
    <t>licentiekost valt weg</t>
  </si>
  <si>
    <t>Scenario 3: vendor dashboard</t>
  </si>
  <si>
    <t>Gebaseerd op gratis gebruik van het platform</t>
  </si>
  <si>
    <t>Ook scenario's te maken, voor elke combinatie: voorbeeld wel socio-demo's, maar geen sensordata &gt; pas waarden handmatig aan.</t>
  </si>
  <si>
    <t>Opmerkingen</t>
  </si>
  <si>
    <t>Gebruiker = view licentie</t>
  </si>
  <si>
    <t xml:space="preserve">Het laatste tabblad is in principe read-only. Wil je de berekening voor een ander aantal gebruikers, pas dan de individuele tabbladen aan. </t>
  </si>
  <si>
    <t>! Kijk na dat de aantallen overal gelijk zijn.</t>
  </si>
  <si>
    <t>Verdere vragen die kunnen helpen bij het concretiseren van deze calculator.</t>
  </si>
  <si>
    <t>Betalingsbereidheid per eindgebruiker (gegeven interviews, workshops, poll, surveys)</t>
  </si>
  <si>
    <t>Gesubsidieerd bedrag vanuit de stad, ter drukking van de kosten voor de eindgebruiker</t>
  </si>
  <si>
    <t>Mogelijkheid groepsaankopen vanuit de steden, versus aankoop per stad</t>
  </si>
  <si>
    <t>Reductie viewer's fee bij grotere/langdurige contracten</t>
  </si>
  <si>
    <t>y0</t>
  </si>
  <si>
    <t>y1</t>
  </si>
  <si>
    <t>y2</t>
  </si>
  <si>
    <t>OPM</t>
  </si>
  <si>
    <t>y3</t>
  </si>
  <si>
    <t>1.</t>
  </si>
  <si>
    <t>investment development platform</t>
  </si>
  <si>
    <t>15 dagen, excl BTW (junior profiel)</t>
  </si>
  <si>
    <t>5.</t>
  </si>
  <si>
    <t>creator users</t>
  </si>
  <si>
    <t>personnel cost (stad)</t>
  </si>
  <si>
    <t>opstart + begeleiding junior (15 dagen)</t>
  </si>
  <si>
    <t>viewer users</t>
  </si>
  <si>
    <t>creator fee/year</t>
  </si>
  <si>
    <t>2.</t>
  </si>
  <si>
    <t>maintenance fee</t>
  </si>
  <si>
    <t>viewer fee/year</t>
  </si>
  <si>
    <t>cost telco data</t>
  </si>
  <si>
    <t xml:space="preserve">per meetgebied </t>
  </si>
  <si>
    <t>A.</t>
  </si>
  <si>
    <t>sum</t>
  </si>
  <si>
    <t>cost spending data</t>
  </si>
  <si>
    <t>Cropland</t>
  </si>
  <si>
    <t>sensordata</t>
  </si>
  <si>
    <t>personeelkost medewerker stad per dag</t>
  </si>
  <si>
    <t>socio demo's</t>
  </si>
  <si>
    <t>&lt;nieuwe databron&gt;</t>
  </si>
  <si>
    <t>licensing fee/year</t>
  </si>
  <si>
    <t>3.</t>
  </si>
  <si>
    <t>total cost (excl dev)</t>
  </si>
  <si>
    <t>total cost - creator licences</t>
  </si>
  <si>
    <t>cost/user*year</t>
  </si>
  <si>
    <t>cost/user*month</t>
  </si>
  <si>
    <t>4.</t>
  </si>
  <si>
    <t>total cost (incl dev)</t>
  </si>
  <si>
    <t>vanuit telco</t>
  </si>
  <si>
    <t>B.</t>
  </si>
  <si>
    <t>%sensorgebruikers</t>
  </si>
  <si>
    <t>sensorgebruikers</t>
  </si>
  <si>
    <t>non-sensorgebruikers</t>
  </si>
  <si>
    <t>base cost (excl dev)</t>
  </si>
  <si>
    <t>base cost - creator licences</t>
  </si>
  <si>
    <t>&gt; iedereen betaalt %sensordata</t>
  </si>
  <si>
    <t>&gt; basisgebruiker</t>
  </si>
  <si>
    <t>add cost/sensoruser*year</t>
  </si>
  <si>
    <t>cost/sensoruser*month</t>
  </si>
  <si>
    <t>&gt; sensordata gebruiker</t>
  </si>
  <si>
    <t>base cost (incl dev)</t>
  </si>
  <si>
    <t>hoger dan in tableau</t>
  </si>
  <si>
    <t>TC (excl dev): fee/user x month</t>
  </si>
  <si>
    <t>TC (incl dev): fee/user x month</t>
  </si>
  <si>
    <t>scenario A</t>
  </si>
  <si>
    <t>Scenario 1a</t>
  </si>
  <si>
    <t>Tableau</t>
  </si>
  <si>
    <t>Scenario 1b</t>
  </si>
  <si>
    <t>Zelf</t>
  </si>
  <si>
    <t>Scenario 1c</t>
  </si>
  <si>
    <t>Vendor</t>
  </si>
  <si>
    <t>scenario B</t>
  </si>
  <si>
    <t>Scenario 2a</t>
  </si>
  <si>
    <t>Scenario 2b</t>
  </si>
  <si>
    <t>Scenario 2c</t>
  </si>
  <si>
    <t>scenario C</t>
  </si>
  <si>
    <t>Scenario 3a</t>
  </si>
  <si>
    <t>Scenario 3b</t>
  </si>
  <si>
    <t>Scenario 3c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</si>
</sst>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3" fontId="0" fillId="0" borderId="0" xfId="0" applyNumberFormat="1"/>
    <xf numFmtId="3" fontId="0" fillId="2" borderId="0" xfId="0" applyNumberFormat="1" applyFill="1"/>
    <xf numFmtId="0" fontId="1" fillId="0" borderId="0" xfId="0" applyFont="1"/>
    <xf numFmtId="0" fontId="0" fillId="0" borderId="1" xfId="0" applyBorder="1"/>
    <xf numFmtId="3" fontId="0" fillId="0" borderId="2" xfId="0" applyNumberFormat="1" applyBorder="1"/>
    <xf numFmtId="3" fontId="0" fillId="0" borderId="3" xfId="0" applyNumberFormat="1" applyBorder="1"/>
    <xf numFmtId="0" fontId="0" fillId="0" borderId="4" xfId="0" applyBorder="1"/>
    <xf numFmtId="3" fontId="0" fillId="0" borderId="5" xfId="0" applyNumberFormat="1" applyBorder="1"/>
    <xf numFmtId="0" fontId="0" fillId="0" borderId="6" xfId="0" applyBorder="1"/>
    <xf numFmtId="3" fontId="0" fillId="0" borderId="7" xfId="0" applyNumberFormat="1" applyBorder="1"/>
    <xf numFmtId="3" fontId="0" fillId="0" borderId="8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1" xfId="0" applyNumberFormat="1" applyBorder="1"/>
    <xf numFmtId="3" fontId="0" fillId="0" borderId="4" xfId="0" applyNumberFormat="1" applyBorder="1"/>
    <xf numFmtId="3" fontId="0" fillId="0" borderId="6" xfId="0" applyNumberFormat="1" applyBorder="1"/>
    <xf numFmtId="0" fontId="2" fillId="0" borderId="0" xfId="0" applyFont="1"/>
    <xf numFmtId="16" fontId="0" fillId="0" borderId="0" xfId="0" quotePrefix="1" applyNumberFormat="1"/>
    <xf numFmtId="0" fontId="0" fillId="2" borderId="0" xfId="0" applyFill="1"/>
    <xf numFmtId="3" fontId="2" fillId="0" borderId="0" xfId="0" applyNumberFormat="1" applyFont="1"/>
    <xf numFmtId="3" fontId="3" fillId="0" borderId="0" xfId="0" applyNumberFormat="1" applyFont="1"/>
    <xf numFmtId="0" fontId="3" fillId="0" borderId="0" xfId="0" applyFont="1"/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0" xfId="0" applyFill="1"/>
    <xf numFmtId="0" fontId="0" fillId="3" borderId="17" xfId="0" applyFill="1" applyBorder="1"/>
    <xf numFmtId="0" fontId="0" fillId="3" borderId="18" xfId="0" applyFill="1" applyBorder="1"/>
    <xf numFmtId="0" fontId="0" fillId="3" borderId="12" xfId="0" applyFill="1" applyBorder="1"/>
    <xf numFmtId="0" fontId="0" fillId="3" borderId="19" xfId="0" applyFill="1" applyBorder="1"/>
    <xf numFmtId="0" fontId="8" fillId="3" borderId="13" xfId="0" applyFont="1" applyFill="1" applyBorder="1"/>
    <xf numFmtId="0" fontId="8" fillId="0" borderId="0" xfId="0" applyFont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Standaard" xfId="0" builtinId="0"/>
  </cellStyles>
  <dxfs count="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TC (excl dev): fee/user x month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Vergelijking!$M$6</c:f>
              <c:strCache>
                <c:ptCount val="1"/>
                <c:pt idx="0">
                  <c:v>scenario 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Vergelijking!$L$7:$L$19</c:f>
              <c:strCache>
                <c:ptCount val="13"/>
                <c:pt idx="0">
                  <c:v>Tableau</c:v>
                </c:pt>
                <c:pt idx="1">
                  <c:v>Zelf</c:v>
                </c:pt>
                <c:pt idx="2">
                  <c:v>Vendor</c:v>
                </c:pt>
                <c:pt idx="5">
                  <c:v>Basic</c:v>
                </c:pt>
                <c:pt idx="6">
                  <c:v>Zelf</c:v>
                </c:pt>
                <c:pt idx="7">
                  <c:v>Vendor</c:v>
                </c:pt>
                <c:pt idx="10">
                  <c:v>Basic</c:v>
                </c:pt>
                <c:pt idx="11">
                  <c:v>Zelf</c:v>
                </c:pt>
                <c:pt idx="12">
                  <c:v>Vendor</c:v>
                </c:pt>
              </c:strCache>
            </c:strRef>
          </c:cat>
          <c:val>
            <c:numRef>
              <c:f>Vergelijking!$M$7:$M$19</c:f>
              <c:numCache>
                <c:formatCode>#,##0</c:formatCode>
                <c:ptCount val="13"/>
                <c:pt idx="0">
                  <c:v>51.692708333333336</c:v>
                </c:pt>
                <c:pt idx="1">
                  <c:v>49.817708333333336</c:v>
                </c:pt>
                <c:pt idx="2">
                  <c:v>36.796875</c:v>
                </c:pt>
                <c:pt idx="4" formatCode="General">
                  <c:v>0</c:v>
                </c:pt>
                <c:pt idx="5">
                  <c:v>76.276041666666671</c:v>
                </c:pt>
                <c:pt idx="6">
                  <c:v>74.401041666666671</c:v>
                </c:pt>
                <c:pt idx="7">
                  <c:v>61.380208333333336</c:v>
                </c:pt>
                <c:pt idx="9" formatCode="General">
                  <c:v>0</c:v>
                </c:pt>
                <c:pt idx="10">
                  <c:v>97.109375</c:v>
                </c:pt>
                <c:pt idx="11">
                  <c:v>95.234375</c:v>
                </c:pt>
                <c:pt idx="12">
                  <c:v>82.213541666666671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F1-41BA-A21A-4619A2E941BB}"/>
            </c:ext>
          </c:extLst>
        </c:ser>
        <c:ser>
          <c:idx val="1"/>
          <c:order val="1"/>
          <c:tx>
            <c:strRef>
              <c:f>Vergelijking!$N$6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Vergelijking!$L$7:$L$19</c:f>
              <c:strCache>
                <c:ptCount val="13"/>
                <c:pt idx="0">
                  <c:v>Tableau</c:v>
                </c:pt>
                <c:pt idx="1">
                  <c:v>Zelf</c:v>
                </c:pt>
                <c:pt idx="2">
                  <c:v>Vendor</c:v>
                </c:pt>
                <c:pt idx="5">
                  <c:v>Basic</c:v>
                </c:pt>
                <c:pt idx="6">
                  <c:v>Zelf</c:v>
                </c:pt>
                <c:pt idx="7">
                  <c:v>Vendor</c:v>
                </c:pt>
                <c:pt idx="10">
                  <c:v>Basic</c:v>
                </c:pt>
                <c:pt idx="11">
                  <c:v>Zelf</c:v>
                </c:pt>
                <c:pt idx="12">
                  <c:v>Vendor</c:v>
                </c:pt>
              </c:strCache>
            </c:strRef>
          </c:cat>
          <c:val>
            <c:numRef>
              <c:f>Vergelijking!$N$7:$N$19</c:f>
              <c:numCache>
                <c:formatCode>#,##0</c:formatCode>
                <c:ptCount val="13"/>
                <c:pt idx="0">
                  <c:v>37.204861111111107</c:v>
                </c:pt>
                <c:pt idx="1">
                  <c:v>31.510416666666668</c:v>
                </c:pt>
                <c:pt idx="2">
                  <c:v>22.829861111111111</c:v>
                </c:pt>
                <c:pt idx="5">
                  <c:v>53.59375</c:v>
                </c:pt>
                <c:pt idx="6">
                  <c:v>47.89930555555555</c:v>
                </c:pt>
                <c:pt idx="7">
                  <c:v>39.21875</c:v>
                </c:pt>
                <c:pt idx="10">
                  <c:v>67.482638888888886</c:v>
                </c:pt>
                <c:pt idx="11">
                  <c:v>61.78819444444445</c:v>
                </c:pt>
                <c:pt idx="12">
                  <c:v>53.107638888888886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F1-41BA-A21A-4619A2E941BB}"/>
            </c:ext>
          </c:extLst>
        </c:ser>
        <c:ser>
          <c:idx val="2"/>
          <c:order val="2"/>
          <c:tx>
            <c:strRef>
              <c:f>Vergelijking!$O$6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Vergelijking!$L$7:$L$19</c:f>
              <c:strCache>
                <c:ptCount val="13"/>
                <c:pt idx="0">
                  <c:v>Tableau</c:v>
                </c:pt>
                <c:pt idx="1">
                  <c:v>Zelf</c:v>
                </c:pt>
                <c:pt idx="2">
                  <c:v>Vendor</c:v>
                </c:pt>
                <c:pt idx="5">
                  <c:v>Basic</c:v>
                </c:pt>
                <c:pt idx="6">
                  <c:v>Zelf</c:v>
                </c:pt>
                <c:pt idx="7">
                  <c:v>Vendor</c:v>
                </c:pt>
                <c:pt idx="10">
                  <c:v>Basic</c:v>
                </c:pt>
                <c:pt idx="11">
                  <c:v>Zelf</c:v>
                </c:pt>
                <c:pt idx="12">
                  <c:v>Vendor</c:v>
                </c:pt>
              </c:strCache>
            </c:strRef>
          </c:cat>
          <c:val>
            <c:numRef>
              <c:f>Vergelijking!$O$7:$O$19</c:f>
              <c:numCache>
                <c:formatCode>#,##0</c:formatCode>
                <c:ptCount val="13"/>
                <c:pt idx="0">
                  <c:v>27.65625</c:v>
                </c:pt>
                <c:pt idx="1">
                  <c:v>18.90625</c:v>
                </c:pt>
                <c:pt idx="2">
                  <c:v>13.697916666666666</c:v>
                </c:pt>
                <c:pt idx="5">
                  <c:v>37.489583333333336</c:v>
                </c:pt>
                <c:pt idx="6">
                  <c:v>28.739583333333332</c:v>
                </c:pt>
                <c:pt idx="7">
                  <c:v>23.53125</c:v>
                </c:pt>
                <c:pt idx="10">
                  <c:v>45.822916666666664</c:v>
                </c:pt>
                <c:pt idx="11">
                  <c:v>37.072916666666664</c:v>
                </c:pt>
                <c:pt idx="12">
                  <c:v>31.864583333333332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F1-41BA-A21A-4619A2E94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8978927"/>
        <c:axId val="2036453103"/>
      </c:barChart>
      <c:catAx>
        <c:axId val="638978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6453103"/>
        <c:crosses val="autoZero"/>
        <c:auto val="1"/>
        <c:lblAlgn val="ctr"/>
        <c:lblOffset val="100"/>
        <c:noMultiLvlLbl val="0"/>
      </c:catAx>
      <c:valAx>
        <c:axId val="2036453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Fee / user per month (€)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9789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TC (incl dev): fee/user x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Vergelijking!$M$23</c:f>
              <c:strCache>
                <c:ptCount val="1"/>
                <c:pt idx="0">
                  <c:v>scenario 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Vergelijking!$L$24:$L$36</c:f>
              <c:strCache>
                <c:ptCount val="13"/>
                <c:pt idx="0">
                  <c:v>Tableau</c:v>
                </c:pt>
                <c:pt idx="1">
                  <c:v>Zelf</c:v>
                </c:pt>
                <c:pt idx="2">
                  <c:v>Vendor</c:v>
                </c:pt>
                <c:pt idx="5">
                  <c:v>Basic</c:v>
                </c:pt>
                <c:pt idx="6">
                  <c:v>Zelf</c:v>
                </c:pt>
                <c:pt idx="7">
                  <c:v>Vendor</c:v>
                </c:pt>
                <c:pt idx="10">
                  <c:v>Basic</c:v>
                </c:pt>
                <c:pt idx="11">
                  <c:v>Zelf</c:v>
                </c:pt>
                <c:pt idx="12">
                  <c:v>Vendor</c:v>
                </c:pt>
              </c:strCache>
            </c:strRef>
          </c:cat>
          <c:val>
            <c:numRef>
              <c:f>Vergelijking!$M$24:$M$36</c:f>
              <c:numCache>
                <c:formatCode>#,##0</c:formatCode>
                <c:ptCount val="13"/>
                <c:pt idx="0">
                  <c:v>54.192708333333336</c:v>
                </c:pt>
                <c:pt idx="1">
                  <c:v>122.734375</c:v>
                </c:pt>
                <c:pt idx="2">
                  <c:v>36.796875</c:v>
                </c:pt>
                <c:pt idx="4" formatCode="General">
                  <c:v>0</c:v>
                </c:pt>
                <c:pt idx="5">
                  <c:v>78.776041666666671</c:v>
                </c:pt>
                <c:pt idx="6">
                  <c:v>147.31770833333334</c:v>
                </c:pt>
                <c:pt idx="7">
                  <c:v>61.380208333333336</c:v>
                </c:pt>
                <c:pt idx="9" formatCode="General">
                  <c:v>0</c:v>
                </c:pt>
                <c:pt idx="10">
                  <c:v>99.609375</c:v>
                </c:pt>
                <c:pt idx="11">
                  <c:v>168.15104166666666</c:v>
                </c:pt>
                <c:pt idx="12">
                  <c:v>82.213541666666671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71-43D6-ADB4-9837286E04D9}"/>
            </c:ext>
          </c:extLst>
        </c:ser>
        <c:ser>
          <c:idx val="1"/>
          <c:order val="1"/>
          <c:tx>
            <c:strRef>
              <c:f>Vergelijking!$N$23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Vergelijking!$L$24:$L$36</c:f>
              <c:strCache>
                <c:ptCount val="13"/>
                <c:pt idx="0">
                  <c:v>Tableau</c:v>
                </c:pt>
                <c:pt idx="1">
                  <c:v>Zelf</c:v>
                </c:pt>
                <c:pt idx="2">
                  <c:v>Vendor</c:v>
                </c:pt>
                <c:pt idx="5">
                  <c:v>Basic</c:v>
                </c:pt>
                <c:pt idx="6">
                  <c:v>Zelf</c:v>
                </c:pt>
                <c:pt idx="7">
                  <c:v>Vendor</c:v>
                </c:pt>
                <c:pt idx="10">
                  <c:v>Basic</c:v>
                </c:pt>
                <c:pt idx="11">
                  <c:v>Zelf</c:v>
                </c:pt>
                <c:pt idx="12">
                  <c:v>Vendor</c:v>
                </c:pt>
              </c:strCache>
            </c:strRef>
          </c:cat>
          <c:val>
            <c:numRef>
              <c:f>Vergelijking!$N$24:$N$36</c:f>
              <c:numCache>
                <c:formatCode>#,##0</c:formatCode>
                <c:ptCount val="13"/>
                <c:pt idx="0">
                  <c:v>38.871527777777779</c:v>
                </c:pt>
                <c:pt idx="1">
                  <c:v>80.121527777777786</c:v>
                </c:pt>
                <c:pt idx="2">
                  <c:v>22.829861111111111</c:v>
                </c:pt>
                <c:pt idx="5">
                  <c:v>55.260416666666664</c:v>
                </c:pt>
                <c:pt idx="6">
                  <c:v>96.510416666666671</c:v>
                </c:pt>
                <c:pt idx="7">
                  <c:v>39.21875</c:v>
                </c:pt>
                <c:pt idx="10">
                  <c:v>69.149305555555557</c:v>
                </c:pt>
                <c:pt idx="11">
                  <c:v>110.39930555555556</c:v>
                </c:pt>
                <c:pt idx="12">
                  <c:v>53.107638888888886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71-43D6-ADB4-9837286E04D9}"/>
            </c:ext>
          </c:extLst>
        </c:ser>
        <c:ser>
          <c:idx val="2"/>
          <c:order val="2"/>
          <c:tx>
            <c:strRef>
              <c:f>Vergelijking!$O$23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Vergelijking!$L$24:$L$36</c:f>
              <c:strCache>
                <c:ptCount val="13"/>
                <c:pt idx="0">
                  <c:v>Tableau</c:v>
                </c:pt>
                <c:pt idx="1">
                  <c:v>Zelf</c:v>
                </c:pt>
                <c:pt idx="2">
                  <c:v>Vendor</c:v>
                </c:pt>
                <c:pt idx="5">
                  <c:v>Basic</c:v>
                </c:pt>
                <c:pt idx="6">
                  <c:v>Zelf</c:v>
                </c:pt>
                <c:pt idx="7">
                  <c:v>Vendor</c:v>
                </c:pt>
                <c:pt idx="10">
                  <c:v>Basic</c:v>
                </c:pt>
                <c:pt idx="11">
                  <c:v>Zelf</c:v>
                </c:pt>
                <c:pt idx="12">
                  <c:v>Vendor</c:v>
                </c:pt>
              </c:strCache>
            </c:strRef>
          </c:cat>
          <c:val>
            <c:numRef>
              <c:f>Vergelijking!$O$24:$O$36</c:f>
              <c:numCache>
                <c:formatCode>#,##0</c:formatCode>
                <c:ptCount val="13"/>
                <c:pt idx="0">
                  <c:v>28.65625</c:v>
                </c:pt>
                <c:pt idx="1">
                  <c:v>48.072916666666664</c:v>
                </c:pt>
                <c:pt idx="2">
                  <c:v>13.697916666666666</c:v>
                </c:pt>
                <c:pt idx="5">
                  <c:v>38.489583333333336</c:v>
                </c:pt>
                <c:pt idx="6">
                  <c:v>57.90625</c:v>
                </c:pt>
                <c:pt idx="7">
                  <c:v>23.53125</c:v>
                </c:pt>
                <c:pt idx="10">
                  <c:v>46.822916666666664</c:v>
                </c:pt>
                <c:pt idx="11">
                  <c:v>66.239583333333329</c:v>
                </c:pt>
                <c:pt idx="12">
                  <c:v>31.864583333333332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71-43D6-ADB4-9837286E0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3099471"/>
        <c:axId val="813096143"/>
      </c:barChart>
      <c:catAx>
        <c:axId val="813099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3096143"/>
        <c:crosses val="autoZero"/>
        <c:auto val="1"/>
        <c:lblAlgn val="ctr"/>
        <c:lblOffset val="100"/>
        <c:noMultiLvlLbl val="0"/>
      </c:catAx>
      <c:valAx>
        <c:axId val="813096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Fee / user per month (€)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3099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6" fmlaLink="$K$10" horiz="1" max="100" page="0" val="25"/>
</file>

<file path=xl/ctrlProps/ctrlProp2.xml><?xml version="1.0" encoding="utf-8"?>
<formControlPr xmlns="http://schemas.microsoft.com/office/spreadsheetml/2009/9/main" objectType="Scroll" dx="26" fmlaLink="$K$10" horiz="1" max="100" page="0" val="25"/>
</file>

<file path=xl/ctrlProps/ctrlProp3.xml><?xml version="1.0" encoding="utf-8"?>
<formControlPr xmlns="http://schemas.microsoft.com/office/spreadsheetml/2009/9/main" objectType="Scroll" dx="26" fmlaLink="$K$10" horiz="1" max="100" page="0" val="25"/>
</file>

<file path=xl/ctrlProps/ctrlProp4.xml><?xml version="1.0" encoding="utf-8"?>
<formControlPr xmlns="http://schemas.microsoft.com/office/spreadsheetml/2009/9/main" objectType="Scroll" dx="26" fmlaLink="$K$10" horiz="1" max="100" page="0" val="25"/>
</file>

<file path=xl/ctrlProps/ctrlProp5.xml><?xml version="1.0" encoding="utf-8"?>
<formControlPr xmlns="http://schemas.microsoft.com/office/spreadsheetml/2009/9/main" objectType="Scroll" dx="26" fmlaLink="$K$10" horiz="1" max="100" page="0" val="25"/>
</file>

<file path=xl/ctrlProps/ctrlProp6.xml><?xml version="1.0" encoding="utf-8"?>
<formControlPr xmlns="http://schemas.microsoft.com/office/spreadsheetml/2009/9/main" objectType="Scroll" dx="26" fmlaLink="$K$10" horiz="1" max="100" page="0" val="25"/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8</xdr:row>
          <xdr:rowOff>133350</xdr:rowOff>
        </xdr:from>
        <xdr:to>
          <xdr:col>13</xdr:col>
          <xdr:colOff>276225</xdr:colOff>
          <xdr:row>10</xdr:row>
          <xdr:rowOff>0</xdr:rowOff>
        </xdr:to>
        <xdr:sp macro="" textlink="">
          <xdr:nvSpPr>
            <xdr:cNvPr id="8195" name="Scroll Bar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2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8</xdr:row>
          <xdr:rowOff>133350</xdr:rowOff>
        </xdr:from>
        <xdr:to>
          <xdr:col>13</xdr:col>
          <xdr:colOff>276225</xdr:colOff>
          <xdr:row>10</xdr:row>
          <xdr:rowOff>0</xdr:rowOff>
        </xdr:to>
        <xdr:sp macro="" textlink="">
          <xdr:nvSpPr>
            <xdr:cNvPr id="14337" name="Scroll Bar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3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8</xdr:row>
          <xdr:rowOff>133350</xdr:rowOff>
        </xdr:from>
        <xdr:to>
          <xdr:col>13</xdr:col>
          <xdr:colOff>276225</xdr:colOff>
          <xdr:row>10</xdr:row>
          <xdr:rowOff>0</xdr:rowOff>
        </xdr:to>
        <xdr:sp macro="" textlink="">
          <xdr:nvSpPr>
            <xdr:cNvPr id="16385" name="Scroll Bar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5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8</xdr:row>
          <xdr:rowOff>133350</xdr:rowOff>
        </xdr:from>
        <xdr:to>
          <xdr:col>13</xdr:col>
          <xdr:colOff>276225</xdr:colOff>
          <xdr:row>10</xdr:row>
          <xdr:rowOff>0</xdr:rowOff>
        </xdr:to>
        <xdr:sp macro="" textlink="">
          <xdr:nvSpPr>
            <xdr:cNvPr id="17409" name="Scroll Bar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6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8</xdr:row>
          <xdr:rowOff>133350</xdr:rowOff>
        </xdr:from>
        <xdr:to>
          <xdr:col>13</xdr:col>
          <xdr:colOff>276225</xdr:colOff>
          <xdr:row>10</xdr:row>
          <xdr:rowOff>0</xdr:rowOff>
        </xdr:to>
        <xdr:sp macro="" textlink="">
          <xdr:nvSpPr>
            <xdr:cNvPr id="19457" name="Scroll Bar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8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8</xdr:row>
          <xdr:rowOff>133350</xdr:rowOff>
        </xdr:from>
        <xdr:to>
          <xdr:col>13</xdr:col>
          <xdr:colOff>276225</xdr:colOff>
          <xdr:row>10</xdr:row>
          <xdr:rowOff>0</xdr:rowOff>
        </xdr:to>
        <xdr:sp macro="" textlink="">
          <xdr:nvSpPr>
            <xdr:cNvPr id="20481" name="Scroll Bar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9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236220</xdr:colOff>
      <xdr:row>5</xdr:row>
      <xdr:rowOff>7620</xdr:rowOff>
    </xdr:from>
    <xdr:to>
      <xdr:col>22</xdr:col>
      <xdr:colOff>541020</xdr:colOff>
      <xdr:row>19</xdr:row>
      <xdr:rowOff>129540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251460</xdr:colOff>
      <xdr:row>21</xdr:row>
      <xdr:rowOff>15240</xdr:rowOff>
    </xdr:from>
    <xdr:to>
      <xdr:col>22</xdr:col>
      <xdr:colOff>556260</xdr:colOff>
      <xdr:row>36</xdr:row>
      <xdr:rowOff>15240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elle Van Camp" id="{2F49317A-E3FC-4FDF-BB00-8CB0F1538821}" userId="S::u0114706@thomasmore.be::7254e6c0-e7c2-422f-9471-41014168a95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8" dT="2022-03-24T14:40:29.48" personId="{2F49317A-E3FC-4FDF-BB00-8CB0F1538821}" id="{1F1F732A-F978-4129-89A5-FB0DD4034E22}">
    <text>depreciation 5y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21" dT="2022-03-24T14:40:29.48" personId="{2F49317A-E3FC-4FDF-BB00-8CB0F1538821}" id="{F891F602-C808-4CAA-887E-97336EDB5A93}">
    <text>depreciation 5y</text>
  </threadedComment>
  <threadedComment ref="I21" dT="2022-03-24T14:40:29.48" personId="{2F49317A-E3FC-4FDF-BB00-8CB0F1538821}" id="{660F765A-BF0A-4A8B-9338-0A5CAF8536B5}">
    <text>depreciation 5y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B21" dT="2022-03-24T14:40:29.48" personId="{2F49317A-E3FC-4FDF-BB00-8CB0F1538821}" id="{F68D8871-1175-49A6-8675-8DE9B927CF55}">
    <text>depreciation 5y</text>
  </threadedComment>
  <threadedComment ref="I21" dT="2022-03-24T14:40:29.48" personId="{2F49317A-E3FC-4FDF-BB00-8CB0F1538821}" id="{C8EAAF07-DCEE-4AD2-BC73-11DA8CD53C26}">
    <text>depreciation 5y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B17" dT="2022-03-24T14:40:29.48" personId="{2F49317A-E3FC-4FDF-BB00-8CB0F1538821}" id="{A66812D3-28B4-44D0-BFC4-838B93A2D082}">
    <text>depreciation 5y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B21" dT="2022-03-24T14:40:29.48" personId="{2F49317A-E3FC-4FDF-BB00-8CB0F1538821}" id="{F0A30FD2-7198-4B8F-A64A-16DBC7C32798}">
    <text>depreciation 5y</text>
  </threadedComment>
  <threadedComment ref="I21" dT="2022-03-24T14:40:29.48" personId="{2F49317A-E3FC-4FDF-BB00-8CB0F1538821}" id="{7C59621A-F8F1-4341-A6DD-2707BF576836}">
    <text>depreciation 5y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B21" dT="2022-03-24T14:40:29.48" personId="{2F49317A-E3FC-4FDF-BB00-8CB0F1538821}" id="{6672CF5B-13DA-415E-9F6A-2B1532076867}">
    <text>depreciation 5y</text>
  </threadedComment>
  <threadedComment ref="I21" dT="2022-03-24T14:40:29.48" personId="{2F49317A-E3FC-4FDF-BB00-8CB0F1538821}" id="{156861B7-ACFB-4D78-886B-1BD32F6C479A}">
    <text>depreciation 5y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B17" dT="2022-03-24T14:40:29.48" personId="{2F49317A-E3FC-4FDF-BB00-8CB0F1538821}" id="{92DED57F-81F2-4980-A72C-9827E0E3BEA6}">
    <text>depreciation 5y</text>
  </threadedComment>
</ThreadedComments>
</file>

<file path=xl/threadedComments/threadedComment8.xml><?xml version="1.0" encoding="utf-8"?>
<ThreadedComments xmlns="http://schemas.microsoft.com/office/spreadsheetml/2018/threadedcomments" xmlns:x="http://schemas.openxmlformats.org/spreadsheetml/2006/main">
  <threadedComment ref="B21" dT="2022-03-24T14:40:29.48" personId="{2F49317A-E3FC-4FDF-BB00-8CB0F1538821}" id="{E291C428-60B4-47F8-A7B5-AFA30A6A0F98}">
    <text>depreciation 5y</text>
  </threadedComment>
  <threadedComment ref="I21" dT="2022-03-24T14:40:29.48" personId="{2F49317A-E3FC-4FDF-BB00-8CB0F1538821}" id="{52A62B20-DC6E-4EF0-AC80-C058373E4BDD}">
    <text>depreciation 5y</text>
  </threadedComment>
</ThreadedComments>
</file>

<file path=xl/threadedComments/threadedComment9.xml><?xml version="1.0" encoding="utf-8"?>
<ThreadedComments xmlns="http://schemas.microsoft.com/office/spreadsheetml/2018/threadedcomments" xmlns:x="http://schemas.openxmlformats.org/spreadsheetml/2006/main">
  <threadedComment ref="B21" dT="2022-03-24T14:40:29.48" personId="{2F49317A-E3FC-4FDF-BB00-8CB0F1538821}" id="{FA78684E-24DD-46F9-A75E-8CD4CF530AAD}">
    <text>depreciation 5y</text>
  </threadedComment>
  <threadedComment ref="I21" dT="2022-03-24T14:40:29.48" personId="{2F49317A-E3FC-4FDF-BB00-8CB0F1538821}" id="{C4904140-6ACA-471A-BFAF-FBBC8283C1E5}">
    <text>depreciation 5y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6" Type="http://schemas.microsoft.com/office/2017/10/relationships/threadedComment" Target="../threadedComments/threadedComment9.xml"/><Relationship Id="rId5" Type="http://schemas.openxmlformats.org/officeDocument/2006/relationships/comments" Target="../comments9.xml"/><Relationship Id="rId4" Type="http://schemas.openxmlformats.org/officeDocument/2006/relationships/ctrlProp" Target="../ctrlProps/ctrlProp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microsoft.com/office/2017/10/relationships/threadedComment" Target="../threadedComments/threadedComment2.xml"/><Relationship Id="rId5" Type="http://schemas.openxmlformats.org/officeDocument/2006/relationships/comments" Target="../comments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microsoft.com/office/2017/10/relationships/threadedComment" Target="../threadedComments/threadedComment3.xml"/><Relationship Id="rId5" Type="http://schemas.openxmlformats.org/officeDocument/2006/relationships/comments" Target="../comments3.xml"/><Relationship Id="rId4" Type="http://schemas.openxmlformats.org/officeDocument/2006/relationships/ctrlProp" Target="../ctrlProps/ctrlProp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6" Type="http://schemas.microsoft.com/office/2017/10/relationships/threadedComment" Target="../threadedComments/threadedComment5.xml"/><Relationship Id="rId5" Type="http://schemas.openxmlformats.org/officeDocument/2006/relationships/comments" Target="../comments5.xml"/><Relationship Id="rId4" Type="http://schemas.openxmlformats.org/officeDocument/2006/relationships/ctrlProp" Target="../ctrlProps/ctrlProp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6" Type="http://schemas.microsoft.com/office/2017/10/relationships/threadedComment" Target="../threadedComments/threadedComment6.xml"/><Relationship Id="rId5" Type="http://schemas.openxmlformats.org/officeDocument/2006/relationships/comments" Target="../comments6.xml"/><Relationship Id="rId4" Type="http://schemas.openxmlformats.org/officeDocument/2006/relationships/ctrlProp" Target="../ctrlProps/ctrlProp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Relationship Id="rId4" Type="http://schemas.microsoft.com/office/2017/10/relationships/threadedComment" Target="../threadedComments/threadedComment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6" Type="http://schemas.microsoft.com/office/2017/10/relationships/threadedComment" Target="../threadedComments/threadedComment8.xml"/><Relationship Id="rId5" Type="http://schemas.openxmlformats.org/officeDocument/2006/relationships/comments" Target="../comments8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EE739-048F-4F06-8799-82D3FA3AC731}">
  <sheetPr codeName="Sheet2"/>
  <dimension ref="B2:O50"/>
  <sheetViews>
    <sheetView tabSelected="1" workbookViewId="0">
      <selection activeCell="M22" sqref="M22"/>
    </sheetView>
  </sheetViews>
  <sheetFormatPr defaultRowHeight="15"/>
  <cols>
    <col min="2" max="2" width="11.28515625" customWidth="1"/>
    <col min="12" max="12" width="17.85546875" customWidth="1"/>
    <col min="13" max="13" width="11.85546875" customWidth="1"/>
    <col min="14" max="14" width="13.42578125" bestFit="1" customWidth="1"/>
    <col min="15" max="15" width="16.5703125" bestFit="1" customWidth="1"/>
  </cols>
  <sheetData>
    <row r="2" spans="2:12">
      <c r="B2" s="43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2:12">
      <c r="B3" s="37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9"/>
    </row>
    <row r="4" spans="2:12">
      <c r="B4" s="37" t="s">
        <v>2</v>
      </c>
      <c r="C4" s="38"/>
      <c r="D4" s="38"/>
      <c r="E4" s="38"/>
      <c r="F4" s="38"/>
      <c r="G4" s="38"/>
      <c r="H4" s="38"/>
      <c r="I4" s="38"/>
      <c r="J4" s="38"/>
      <c r="K4" s="38"/>
      <c r="L4" s="39"/>
    </row>
    <row r="5" spans="2:12">
      <c r="B5" s="37" t="s">
        <v>3</v>
      </c>
      <c r="C5" s="38"/>
      <c r="D5" s="38"/>
      <c r="E5" s="38"/>
      <c r="F5" s="38"/>
      <c r="G5" s="38"/>
      <c r="H5" s="38"/>
      <c r="I5" s="38"/>
      <c r="J5" s="38"/>
      <c r="K5" s="38"/>
      <c r="L5" s="39"/>
    </row>
    <row r="6" spans="2:12">
      <c r="B6" s="37" t="s">
        <v>4</v>
      </c>
      <c r="C6" s="38"/>
      <c r="D6" s="38"/>
      <c r="E6" s="38"/>
      <c r="F6" s="38"/>
      <c r="G6" s="38"/>
      <c r="H6" s="38"/>
      <c r="I6" s="38"/>
      <c r="J6" s="38"/>
      <c r="K6" s="38"/>
      <c r="L6" s="39"/>
    </row>
    <row r="7" spans="2:12">
      <c r="B7" s="40" t="s">
        <v>5</v>
      </c>
      <c r="C7" s="41"/>
      <c r="D7" s="41"/>
      <c r="E7" s="41"/>
      <c r="F7" s="41"/>
      <c r="G7" s="41"/>
      <c r="H7" s="41"/>
      <c r="I7" s="41"/>
      <c r="J7" s="41"/>
      <c r="K7" s="41"/>
      <c r="L7" s="42"/>
    </row>
    <row r="9" spans="2:12">
      <c r="B9" s="3" t="s">
        <v>6</v>
      </c>
    </row>
    <row r="10" spans="2:12">
      <c r="B10" t="s">
        <v>7</v>
      </c>
    </row>
    <row r="11" spans="2:12">
      <c r="B11" t="s">
        <v>8</v>
      </c>
    </row>
    <row r="12" spans="2:12">
      <c r="B12" t="s">
        <v>9</v>
      </c>
    </row>
    <row r="13" spans="2:12">
      <c r="B13" t="s">
        <v>10</v>
      </c>
    </row>
    <row r="14" spans="2:12">
      <c r="B14" t="s">
        <v>11</v>
      </c>
    </row>
    <row r="15" spans="2:12">
      <c r="B15" t="s">
        <v>12</v>
      </c>
    </row>
    <row r="16" spans="2:12">
      <c r="B16" t="s">
        <v>13</v>
      </c>
    </row>
    <row r="17" spans="2:15">
      <c r="B17" t="s">
        <v>14</v>
      </c>
    </row>
    <row r="20" spans="2:15" ht="15.75" thickBot="1">
      <c r="B20" s="3" t="s">
        <v>15</v>
      </c>
      <c r="K20" s="3" t="s">
        <v>16</v>
      </c>
    </row>
    <row r="21" spans="2:15" ht="15.75" thickBot="1">
      <c r="B21" s="3"/>
      <c r="M21" s="12" t="s">
        <v>17</v>
      </c>
      <c r="N21" s="13" t="s">
        <v>18</v>
      </c>
      <c r="O21" s="14" t="s">
        <v>19</v>
      </c>
    </row>
    <row r="22" spans="2:15">
      <c r="B22" s="44" t="s">
        <v>20</v>
      </c>
      <c r="L22" s="4" t="s">
        <v>21</v>
      </c>
      <c r="M22" s="12" t="s">
        <v>22</v>
      </c>
      <c r="N22" s="13" t="s">
        <v>23</v>
      </c>
      <c r="O22" s="14" t="s">
        <v>24</v>
      </c>
    </row>
    <row r="23" spans="2:15">
      <c r="B23" t="s">
        <v>25</v>
      </c>
      <c r="C23" t="s">
        <v>26</v>
      </c>
      <c r="L23" s="7"/>
      <c r="M23" s="45"/>
      <c r="N23" s="30"/>
      <c r="O23" s="31"/>
    </row>
    <row r="24" spans="2:15">
      <c r="L24" s="7" t="s">
        <v>27</v>
      </c>
      <c r="M24" s="45" t="s">
        <v>28</v>
      </c>
      <c r="N24" s="30" t="s">
        <v>29</v>
      </c>
      <c r="O24" s="31" t="s">
        <v>30</v>
      </c>
    </row>
    <row r="25" spans="2:15">
      <c r="B25" s="44" t="s">
        <v>31</v>
      </c>
      <c r="L25" s="7"/>
      <c r="M25" s="45"/>
      <c r="N25" s="30"/>
      <c r="O25" s="31"/>
    </row>
    <row r="26" spans="2:15" ht="15.75" thickBot="1">
      <c r="B26" t="s">
        <v>25</v>
      </c>
      <c r="C26" t="s">
        <v>26</v>
      </c>
      <c r="L26" s="9" t="s">
        <v>32</v>
      </c>
      <c r="M26" s="46" t="s">
        <v>33</v>
      </c>
      <c r="N26" s="32" t="s">
        <v>34</v>
      </c>
      <c r="O26" s="33" t="s">
        <v>35</v>
      </c>
    </row>
    <row r="27" spans="2:15">
      <c r="C27" t="s">
        <v>36</v>
      </c>
    </row>
    <row r="29" spans="2:15">
      <c r="B29" s="44" t="s">
        <v>37</v>
      </c>
    </row>
    <row r="30" spans="2:15">
      <c r="B30" t="s">
        <v>25</v>
      </c>
      <c r="C30" t="s">
        <v>26</v>
      </c>
    </row>
    <row r="32" spans="2:15">
      <c r="B32" s="44" t="s">
        <v>38</v>
      </c>
    </row>
    <row r="33" spans="2:3">
      <c r="B33" t="s">
        <v>25</v>
      </c>
      <c r="C33" t="s">
        <v>39</v>
      </c>
    </row>
    <row r="34" spans="2:3">
      <c r="C34" t="s">
        <v>40</v>
      </c>
    </row>
    <row r="36" spans="2:3">
      <c r="B36" s="44" t="s">
        <v>41</v>
      </c>
    </row>
    <row r="37" spans="2:3">
      <c r="B37" t="s">
        <v>25</v>
      </c>
      <c r="C37" t="s">
        <v>42</v>
      </c>
    </row>
    <row r="39" spans="2:3">
      <c r="B39" s="34" t="s">
        <v>43</v>
      </c>
    </row>
    <row r="41" spans="2:3">
      <c r="B41" s="3" t="s">
        <v>44</v>
      </c>
    </row>
    <row r="42" spans="2:3">
      <c r="B42" t="s">
        <v>45</v>
      </c>
    </row>
    <row r="43" spans="2:3">
      <c r="B43" t="s">
        <v>46</v>
      </c>
    </row>
    <row r="44" spans="2:3">
      <c r="B44" t="s">
        <v>47</v>
      </c>
    </row>
    <row r="46" spans="2:3">
      <c r="B46" t="s">
        <v>48</v>
      </c>
    </row>
    <row r="47" spans="2:3">
      <c r="C47" t="s">
        <v>49</v>
      </c>
    </row>
    <row r="48" spans="2:3">
      <c r="C48" t="s">
        <v>50</v>
      </c>
    </row>
    <row r="49" spans="3:3">
      <c r="C49" t="s">
        <v>51</v>
      </c>
    </row>
    <row r="50" spans="3:3">
      <c r="C50" t="s">
        <v>52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EC1E6-CF5C-4752-B6AA-C31298A89941}">
  <sheetPr codeName="Sheet10"/>
  <dimension ref="A1:N26"/>
  <sheetViews>
    <sheetView zoomScale="110" zoomScaleNormal="110" workbookViewId="0">
      <selection activeCell="K11" sqref="K11"/>
    </sheetView>
  </sheetViews>
  <sheetFormatPr defaultRowHeight="15"/>
  <cols>
    <col min="2" max="2" width="30.28515625" bestFit="1" customWidth="1"/>
    <col min="3" max="3" width="10" bestFit="1" customWidth="1"/>
    <col min="4" max="5" width="9" bestFit="1" customWidth="1"/>
    <col min="7" max="7" width="30.140625" customWidth="1"/>
    <col min="10" max="10" width="18.42578125" customWidth="1"/>
  </cols>
  <sheetData>
    <row r="1" spans="1:13">
      <c r="C1" t="s">
        <v>53</v>
      </c>
      <c r="D1" t="s">
        <v>54</v>
      </c>
      <c r="E1" t="s">
        <v>55</v>
      </c>
      <c r="G1" t="s">
        <v>56</v>
      </c>
      <c r="K1" t="s">
        <v>53</v>
      </c>
      <c r="L1" t="s">
        <v>54</v>
      </c>
      <c r="M1" t="s">
        <v>57</v>
      </c>
    </row>
    <row r="2" spans="1:13">
      <c r="A2" t="s">
        <v>58</v>
      </c>
      <c r="B2" t="s">
        <v>59</v>
      </c>
      <c r="C2" s="2">
        <v>0</v>
      </c>
      <c r="D2" s="1"/>
      <c r="E2" s="1"/>
      <c r="I2" t="s">
        <v>61</v>
      </c>
      <c r="K2" s="1"/>
      <c r="L2" s="1"/>
      <c r="M2" s="1"/>
    </row>
    <row r="3" spans="1:13">
      <c r="B3" t="s">
        <v>63</v>
      </c>
      <c r="C3" s="2">
        <f>$K8*15</f>
        <v>3375</v>
      </c>
      <c r="D3" s="2">
        <f>$K8*15</f>
        <v>3375</v>
      </c>
      <c r="E3" s="2">
        <f>$K8*15</f>
        <v>3375</v>
      </c>
      <c r="G3" t="s">
        <v>64</v>
      </c>
      <c r="I3" t="s">
        <v>72</v>
      </c>
      <c r="J3" t="s">
        <v>65</v>
      </c>
      <c r="K3" s="20">
        <v>80</v>
      </c>
      <c r="L3" s="20">
        <v>120</v>
      </c>
      <c r="M3" s="20">
        <v>200</v>
      </c>
    </row>
    <row r="4" spans="1:13">
      <c r="C4" s="1"/>
      <c r="D4" s="1"/>
      <c r="E4" s="1"/>
      <c r="K4" s="1"/>
      <c r="L4" s="1"/>
      <c r="M4" s="1"/>
    </row>
    <row r="5" spans="1:13">
      <c r="A5" t="s">
        <v>67</v>
      </c>
      <c r="B5" t="s">
        <v>68</v>
      </c>
      <c r="C5" s="2">
        <v>0</v>
      </c>
      <c r="D5" s="2">
        <v>0</v>
      </c>
      <c r="E5" s="2">
        <v>0</v>
      </c>
      <c r="K5" s="1"/>
      <c r="L5" s="1"/>
      <c r="M5" s="1"/>
    </row>
    <row r="6" spans="1:13">
      <c r="B6" t="s">
        <v>70</v>
      </c>
      <c r="C6" s="2">
        <v>10000</v>
      </c>
      <c r="D6" s="2">
        <v>10000</v>
      </c>
      <c r="E6" s="2">
        <v>10000</v>
      </c>
      <c r="G6" t="s">
        <v>71</v>
      </c>
      <c r="K6" s="1"/>
      <c r="L6" s="1"/>
      <c r="M6" s="1"/>
    </row>
    <row r="7" spans="1:13">
      <c r="B7" t="s">
        <v>74</v>
      </c>
      <c r="C7" s="2">
        <v>21950</v>
      </c>
      <c r="D7" s="2">
        <v>19500</v>
      </c>
      <c r="E7" s="2">
        <v>19500</v>
      </c>
      <c r="G7" t="s">
        <v>75</v>
      </c>
      <c r="J7" s="19"/>
    </row>
    <row r="8" spans="1:13">
      <c r="B8" t="s">
        <v>76</v>
      </c>
      <c r="C8" s="2">
        <v>23600</v>
      </c>
      <c r="D8" s="2">
        <v>23600</v>
      </c>
      <c r="E8" s="2">
        <v>23600</v>
      </c>
      <c r="G8" t="s">
        <v>88</v>
      </c>
      <c r="J8" t="s">
        <v>77</v>
      </c>
      <c r="K8">
        <f>4500/20</f>
        <v>225</v>
      </c>
    </row>
    <row r="9" spans="1:13">
      <c r="B9" t="s">
        <v>78</v>
      </c>
      <c r="C9" s="2">
        <v>20000</v>
      </c>
      <c r="D9" s="2">
        <v>20000</v>
      </c>
      <c r="E9" s="2">
        <v>20000</v>
      </c>
    </row>
    <row r="10" spans="1:13">
      <c r="B10" t="s">
        <v>79</v>
      </c>
      <c r="C10" s="2"/>
      <c r="D10" s="2"/>
      <c r="E10" s="2"/>
      <c r="I10" t="s">
        <v>89</v>
      </c>
      <c r="J10" s="19" t="s">
        <v>90</v>
      </c>
      <c r="K10" s="18">
        <v>25</v>
      </c>
    </row>
    <row r="11" spans="1:13">
      <c r="C11" s="1"/>
      <c r="D11" s="1"/>
      <c r="E11" s="1"/>
      <c r="J11" t="s">
        <v>91</v>
      </c>
      <c r="K11" s="1">
        <f>K3*($K10/100)</f>
        <v>20</v>
      </c>
      <c r="L11" s="1">
        <f t="shared" ref="L11:M11" si="0">L3*($K10/100)</f>
        <v>30</v>
      </c>
      <c r="M11" s="1">
        <f t="shared" si="0"/>
        <v>50</v>
      </c>
    </row>
    <row r="12" spans="1:13">
      <c r="C12" s="1"/>
      <c r="D12" s="1"/>
      <c r="E12" s="1"/>
      <c r="J12" t="s">
        <v>92</v>
      </c>
      <c r="K12" s="1">
        <f>K3-K11</f>
        <v>60</v>
      </c>
      <c r="L12" s="1">
        <f t="shared" ref="L12:M12" si="1">L3-L11</f>
        <v>90</v>
      </c>
      <c r="M12" s="1">
        <f t="shared" si="1"/>
        <v>150</v>
      </c>
    </row>
    <row r="13" spans="1:13">
      <c r="J13" s="1"/>
      <c r="K13" s="1"/>
      <c r="L13" s="1"/>
    </row>
    <row r="14" spans="1:13">
      <c r="A14" t="s">
        <v>81</v>
      </c>
      <c r="B14" s="3" t="s">
        <v>82</v>
      </c>
      <c r="C14" s="1">
        <f>SUM(C3:C11)</f>
        <v>78925</v>
      </c>
      <c r="D14" s="1">
        <f>SUM(D3:D11)</f>
        <v>76475</v>
      </c>
      <c r="E14" s="1">
        <f>SUM(E3:E11)</f>
        <v>76475</v>
      </c>
      <c r="I14" s="3" t="s">
        <v>93</v>
      </c>
      <c r="J14" s="1">
        <f>(SUM(C3:C7)+C11)</f>
        <v>35325</v>
      </c>
      <c r="K14" s="1">
        <f t="shared" ref="K14:L14" si="2">(SUM(D3:D7)+D11)</f>
        <v>32875</v>
      </c>
      <c r="L14" s="1">
        <f t="shared" si="2"/>
        <v>32875</v>
      </c>
    </row>
    <row r="15" spans="1:13">
      <c r="B15" t="s">
        <v>83</v>
      </c>
      <c r="C15" s="1">
        <f>C14-(K2*K4)</f>
        <v>78925</v>
      </c>
      <c r="D15" s="1">
        <f>D14-(L2*L4)</f>
        <v>76475</v>
      </c>
      <c r="E15" s="1">
        <f>E14-(M2*M4)</f>
        <v>76475</v>
      </c>
      <c r="I15" t="s">
        <v>94</v>
      </c>
      <c r="J15" s="1">
        <f>J14-(K2*K4)</f>
        <v>35325</v>
      </c>
      <c r="K15" s="1">
        <f t="shared" ref="K15:L15" si="3">K14-(L2*L4)</f>
        <v>32875</v>
      </c>
      <c r="L15" s="1">
        <f t="shared" si="3"/>
        <v>32875</v>
      </c>
    </row>
    <row r="16" spans="1:13">
      <c r="B16" t="s">
        <v>84</v>
      </c>
      <c r="C16" s="22">
        <f>C15/K3</f>
        <v>986.5625</v>
      </c>
      <c r="D16" s="22">
        <f>D15/L3</f>
        <v>637.29166666666663</v>
      </c>
      <c r="E16" s="22">
        <f>E15/M3</f>
        <v>382.375</v>
      </c>
      <c r="I16" t="s">
        <v>84</v>
      </c>
      <c r="J16" s="22">
        <f>J15/K3</f>
        <v>441.5625</v>
      </c>
      <c r="K16" s="22">
        <f t="shared" ref="K16:L16" si="4">K15/L3</f>
        <v>273.95833333333331</v>
      </c>
      <c r="L16" s="22">
        <f t="shared" si="4"/>
        <v>164.375</v>
      </c>
    </row>
    <row r="17" spans="1:14">
      <c r="B17" t="s">
        <v>85</v>
      </c>
      <c r="C17" s="21">
        <f>C16/12</f>
        <v>82.213541666666671</v>
      </c>
      <c r="D17" s="21">
        <f t="shared" ref="D17:E17" si="5">D16/12</f>
        <v>53.107638888888886</v>
      </c>
      <c r="E17" s="21">
        <f t="shared" si="5"/>
        <v>31.864583333333332</v>
      </c>
      <c r="G17" t="s">
        <v>95</v>
      </c>
      <c r="I17" t="s">
        <v>85</v>
      </c>
      <c r="J17" s="21">
        <f>J16/12</f>
        <v>36.796875</v>
      </c>
      <c r="K17" s="21">
        <f>K16/12</f>
        <v>22.829861111111111</v>
      </c>
      <c r="L17" s="21">
        <f>L16/12</f>
        <v>13.697916666666666</v>
      </c>
      <c r="N17" t="s">
        <v>96</v>
      </c>
    </row>
    <row r="18" spans="1:14">
      <c r="C18" s="21"/>
      <c r="D18" s="21"/>
      <c r="E18" s="21"/>
      <c r="I18" t="s">
        <v>97</v>
      </c>
      <c r="J18" s="22">
        <f>(C8/K11)/12</f>
        <v>98.333333333333329</v>
      </c>
      <c r="K18" s="22">
        <f t="shared" ref="K18:L18" si="6">(D8/L11)/12</f>
        <v>65.555555555555557</v>
      </c>
      <c r="L18" s="22">
        <f t="shared" si="6"/>
        <v>39.333333333333336</v>
      </c>
    </row>
    <row r="19" spans="1:14">
      <c r="C19" s="21"/>
      <c r="D19" s="21"/>
      <c r="E19" s="21"/>
      <c r="I19" t="s">
        <v>98</v>
      </c>
      <c r="J19" s="21">
        <f>SUM(J17:J18)</f>
        <v>135.13020833333331</v>
      </c>
      <c r="K19" s="21">
        <f t="shared" ref="K19:L19" si="7">SUM(K17:K18)</f>
        <v>88.385416666666671</v>
      </c>
      <c r="L19" s="21">
        <f t="shared" si="7"/>
        <v>53.03125</v>
      </c>
      <c r="N19" t="s">
        <v>99</v>
      </c>
    </row>
    <row r="20" spans="1:14">
      <c r="C20" s="18"/>
      <c r="D20" s="18"/>
      <c r="E20" s="18"/>
      <c r="J20" s="18"/>
      <c r="K20" s="18"/>
      <c r="L20" s="18"/>
    </row>
    <row r="21" spans="1:14">
      <c r="A21" t="s">
        <v>86</v>
      </c>
      <c r="B21" s="3" t="s">
        <v>87</v>
      </c>
      <c r="C21" s="1">
        <f>C14+$C2/5</f>
        <v>78925</v>
      </c>
      <c r="D21" s="1">
        <f>D14+$C2/5</f>
        <v>76475</v>
      </c>
      <c r="E21" s="1">
        <f>E14+$C2/5</f>
        <v>76475</v>
      </c>
      <c r="I21" s="3" t="s">
        <v>100</v>
      </c>
      <c r="J21" s="1">
        <f>J14+$C2/5</f>
        <v>35325</v>
      </c>
      <c r="K21" s="1">
        <f t="shared" ref="K21:L21" si="8">K14+$C2/5</f>
        <v>32875</v>
      </c>
      <c r="L21" s="1">
        <f t="shared" si="8"/>
        <v>32875</v>
      </c>
    </row>
    <row r="22" spans="1:14">
      <c r="B22" t="s">
        <v>83</v>
      </c>
      <c r="C22" s="1">
        <f>C21-K2*K4</f>
        <v>78925</v>
      </c>
      <c r="D22" s="1">
        <f>D21-L2*L4</f>
        <v>76475</v>
      </c>
      <c r="E22" s="1">
        <f>E21-M2*M4</f>
        <v>76475</v>
      </c>
      <c r="I22" t="s">
        <v>94</v>
      </c>
      <c r="J22" s="1">
        <f>J21-K2*K4</f>
        <v>35325</v>
      </c>
      <c r="K22" s="1">
        <f t="shared" ref="K22:L22" si="9">K21-L2*L4</f>
        <v>32875</v>
      </c>
      <c r="L22" s="1">
        <f t="shared" si="9"/>
        <v>32875</v>
      </c>
    </row>
    <row r="23" spans="1:14">
      <c r="B23" t="s">
        <v>84</v>
      </c>
      <c r="C23" s="22">
        <f>C22/K3</f>
        <v>986.5625</v>
      </c>
      <c r="D23" s="22">
        <f t="shared" ref="D23:E23" si="10">D22/L3</f>
        <v>637.29166666666663</v>
      </c>
      <c r="E23" s="22">
        <f t="shared" si="10"/>
        <v>382.375</v>
      </c>
      <c r="I23" t="s">
        <v>84</v>
      </c>
      <c r="J23" s="22">
        <f>J22/K3</f>
        <v>441.5625</v>
      </c>
      <c r="K23" s="22">
        <f t="shared" ref="K23:L23" si="11">K22/L3</f>
        <v>273.95833333333331</v>
      </c>
      <c r="L23" s="22">
        <f t="shared" si="11"/>
        <v>164.375</v>
      </c>
    </row>
    <row r="24" spans="1:14">
      <c r="B24" t="s">
        <v>85</v>
      </c>
      <c r="C24" s="21">
        <f>C23/12</f>
        <v>82.213541666666671</v>
      </c>
      <c r="D24" s="21">
        <f t="shared" ref="D24:E24" si="12">D23/12</f>
        <v>53.107638888888886</v>
      </c>
      <c r="E24" s="21">
        <f t="shared" si="12"/>
        <v>31.864583333333332</v>
      </c>
      <c r="G24" t="s">
        <v>95</v>
      </c>
      <c r="H24" s="18"/>
      <c r="I24" t="s">
        <v>85</v>
      </c>
      <c r="J24" s="21">
        <f>J23/12</f>
        <v>36.796875</v>
      </c>
      <c r="K24" s="21">
        <f t="shared" ref="K24:L24" si="13">K23/12</f>
        <v>22.829861111111111</v>
      </c>
      <c r="L24" s="21">
        <f t="shared" si="13"/>
        <v>13.697916666666666</v>
      </c>
      <c r="N24" t="s">
        <v>96</v>
      </c>
    </row>
    <row r="25" spans="1:14">
      <c r="I25" s="23" t="s">
        <v>97</v>
      </c>
      <c r="J25" s="1">
        <f>J18</f>
        <v>98.333333333333329</v>
      </c>
      <c r="K25" s="1">
        <f t="shared" ref="K25:L25" si="14">K18</f>
        <v>65.555555555555557</v>
      </c>
      <c r="L25" s="1">
        <f t="shared" si="14"/>
        <v>39.333333333333336</v>
      </c>
    </row>
    <row r="26" spans="1:14">
      <c r="I26" t="s">
        <v>98</v>
      </c>
      <c r="J26" s="21">
        <f>SUM(J24:J25)</f>
        <v>135.13020833333331</v>
      </c>
      <c r="K26" s="21">
        <f t="shared" ref="K26:L26" si="15">SUM(K24:K25)</f>
        <v>88.385416666666671</v>
      </c>
      <c r="L26" s="21">
        <f t="shared" si="15"/>
        <v>53.03125</v>
      </c>
      <c r="N26" t="s">
        <v>99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Scroll Bar 1">
              <controlPr defaultSize="0" autoPict="0">
                <anchor moveWithCells="1">
                  <from>
                    <xdr:col>11</xdr:col>
                    <xdr:colOff>66675</xdr:colOff>
                    <xdr:row>8</xdr:row>
                    <xdr:rowOff>133350</xdr:rowOff>
                  </from>
                  <to>
                    <xdr:col>13</xdr:col>
                    <xdr:colOff>276225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760C6-D89D-44BB-91C5-C6DC75F9CB77}">
  <dimension ref="B2:O36"/>
  <sheetViews>
    <sheetView topLeftCell="A2" workbookViewId="0">
      <selection activeCell="G3" sqref="G3:J19"/>
    </sheetView>
  </sheetViews>
  <sheetFormatPr defaultRowHeight="15"/>
  <cols>
    <col min="2" max="2" width="10.42578125" bestFit="1" customWidth="1"/>
    <col min="7" max="7" width="10.42578125" bestFit="1" customWidth="1"/>
  </cols>
  <sheetData>
    <row r="2" spans="2:15" ht="15.75" thickBot="1"/>
    <row r="3" spans="2:15">
      <c r="C3" s="24" t="s">
        <v>53</v>
      </c>
      <c r="D3" s="25" t="s">
        <v>54</v>
      </c>
      <c r="E3" s="26" t="s">
        <v>55</v>
      </c>
      <c r="H3" s="24" t="s">
        <v>53</v>
      </c>
      <c r="I3" s="25" t="s">
        <v>54</v>
      </c>
      <c r="J3" s="26" t="s">
        <v>55</v>
      </c>
    </row>
    <row r="4" spans="2:15" ht="15.75" thickBot="1">
      <c r="C4" s="27">
        <f>'Sc.1a Tableau basic'!K3</f>
        <v>80</v>
      </c>
      <c r="D4" s="28">
        <f>'Sc.1a Tableau basic'!L3</f>
        <v>120</v>
      </c>
      <c r="E4" s="29">
        <f>'Sc.1a Tableau basic'!M3</f>
        <v>200</v>
      </c>
      <c r="H4" s="27">
        <f>C4</f>
        <v>80</v>
      </c>
      <c r="I4" s="28">
        <f t="shared" ref="I4:J4" si="0">D4</f>
        <v>120</v>
      </c>
      <c r="J4" s="29">
        <f t="shared" si="0"/>
        <v>200</v>
      </c>
      <c r="L4" s="47" t="s">
        <v>102</v>
      </c>
      <c r="M4" s="47"/>
      <c r="N4" s="47"/>
      <c r="O4" s="47"/>
    </row>
    <row r="5" spans="2:15" ht="15.75" thickBot="1">
      <c r="C5" s="1"/>
      <c r="D5" s="1"/>
      <c r="E5" s="1"/>
    </row>
    <row r="6" spans="2:15" ht="15.75" thickBot="1">
      <c r="C6" s="48" t="s">
        <v>102</v>
      </c>
      <c r="D6" s="49"/>
      <c r="E6" s="50"/>
      <c r="H6" s="48" t="s">
        <v>103</v>
      </c>
      <c r="I6" s="49"/>
      <c r="J6" s="50"/>
      <c r="M6" t="s">
        <v>104</v>
      </c>
    </row>
    <row r="7" spans="2:15">
      <c r="B7" s="4" t="s">
        <v>105</v>
      </c>
      <c r="C7" s="15">
        <f>'Sc.1a Tableau basic'!C16</f>
        <v>51.692708333333336</v>
      </c>
      <c r="D7" s="5">
        <f>'Sc.1a Tableau basic'!D16</f>
        <v>37.204861111111107</v>
      </c>
      <c r="E7" s="6">
        <f>'Sc.1a Tableau basic'!E16</f>
        <v>27.65625</v>
      </c>
      <c r="G7" s="4" t="s">
        <v>105</v>
      </c>
      <c r="H7" s="15">
        <f>'Sc.1a Tableau basic'!C21</f>
        <v>54.192708333333336</v>
      </c>
      <c r="I7" s="5">
        <f>'Sc.1a Tableau basic'!D21</f>
        <v>38.871527777777779</v>
      </c>
      <c r="J7" s="6">
        <f>'Sc.1a Tableau basic'!E21</f>
        <v>28.65625</v>
      </c>
      <c r="L7" t="s">
        <v>106</v>
      </c>
      <c r="M7" s="1">
        <f>C7</f>
        <v>51.692708333333336</v>
      </c>
      <c r="N7" s="1">
        <f t="shared" ref="N7:O7" si="1">D7</f>
        <v>37.204861111111107</v>
      </c>
      <c r="O7" s="1">
        <f t="shared" si="1"/>
        <v>27.65625</v>
      </c>
    </row>
    <row r="8" spans="2:15">
      <c r="B8" s="7" t="s">
        <v>107</v>
      </c>
      <c r="C8" s="16">
        <f>'Sc.1b Tableau sensordata'!C17</f>
        <v>76.276041666666671</v>
      </c>
      <c r="D8" s="1">
        <f>'Sc.1b Tableau sensordata'!D17</f>
        <v>53.59375</v>
      </c>
      <c r="E8" s="8">
        <f>'Sc.1b Tableau sensordata'!E17</f>
        <v>37.489583333333336</v>
      </c>
      <c r="G8" s="7" t="s">
        <v>107</v>
      </c>
      <c r="H8" s="16">
        <f>'Sc.1b Tableau sensordata'!C24</f>
        <v>78.776041666666671</v>
      </c>
      <c r="I8" s="1">
        <f>'Sc.1b Tableau sensordata'!D24</f>
        <v>55.260416666666664</v>
      </c>
      <c r="J8" s="8">
        <f>'Sc.1b Tableau sensordata'!E24</f>
        <v>38.489583333333336</v>
      </c>
      <c r="L8" t="s">
        <v>108</v>
      </c>
      <c r="M8" s="1">
        <f>C12</f>
        <v>49.817708333333336</v>
      </c>
      <c r="N8" s="1">
        <f t="shared" ref="N8:O8" si="2">D12</f>
        <v>31.510416666666668</v>
      </c>
      <c r="O8" s="1">
        <f t="shared" si="2"/>
        <v>18.90625</v>
      </c>
    </row>
    <row r="9" spans="2:15" ht="15.75" thickBot="1">
      <c r="B9" s="9" t="s">
        <v>109</v>
      </c>
      <c r="C9" s="17">
        <f>'Sc.1c Tableau sociodemo'!C17</f>
        <v>97.109375</v>
      </c>
      <c r="D9" s="10">
        <f>'Sc.1c Tableau sociodemo'!D17</f>
        <v>67.482638888888886</v>
      </c>
      <c r="E9" s="11">
        <f>'Sc.1c Tableau sociodemo'!E17</f>
        <v>45.822916666666664</v>
      </c>
      <c r="G9" s="9" t="s">
        <v>109</v>
      </c>
      <c r="H9" s="17">
        <f>'Sc.1c Tableau sociodemo'!C24</f>
        <v>99.609375</v>
      </c>
      <c r="I9" s="10">
        <f>'Sc.1c Tableau sociodemo'!D24</f>
        <v>69.149305555555557</v>
      </c>
      <c r="J9" s="11">
        <f>'Sc.1c Tableau sociodemo'!E24</f>
        <v>46.822916666666664</v>
      </c>
      <c r="L9" t="s">
        <v>110</v>
      </c>
      <c r="M9" s="1">
        <f>C17</f>
        <v>36.796875</v>
      </c>
      <c r="N9" s="1">
        <f t="shared" ref="N9:O9" si="3">D17</f>
        <v>22.829861111111111</v>
      </c>
      <c r="O9" s="1">
        <f t="shared" si="3"/>
        <v>13.697916666666666</v>
      </c>
    </row>
    <row r="10" spans="2:15" ht="15.75" thickBot="1"/>
    <row r="11" spans="2:15" ht="15.75" thickBot="1">
      <c r="C11" s="48" t="s">
        <v>102</v>
      </c>
      <c r="D11" s="49"/>
      <c r="E11" s="50"/>
      <c r="H11" s="48" t="s">
        <v>103</v>
      </c>
      <c r="I11" s="49"/>
      <c r="J11" s="50"/>
      <c r="M11" t="s">
        <v>111</v>
      </c>
    </row>
    <row r="12" spans="2:15">
      <c r="B12" s="4" t="s">
        <v>112</v>
      </c>
      <c r="C12" s="15">
        <f>'Sc.2a Zelf ontw. basic'!C15</f>
        <v>49.817708333333336</v>
      </c>
      <c r="D12" s="5">
        <f>'Sc.2a Zelf ontw. basic'!D15</f>
        <v>31.510416666666668</v>
      </c>
      <c r="E12" s="6">
        <f>'Sc.2a Zelf ontw. basic'!E15</f>
        <v>18.90625</v>
      </c>
      <c r="G12" s="4" t="s">
        <v>112</v>
      </c>
      <c r="H12" s="15">
        <f>'Sc.2a Zelf ontw. basic'!C20</f>
        <v>122.734375</v>
      </c>
      <c r="I12" s="5">
        <f>'Sc.2a Zelf ontw. basic'!D20</f>
        <v>80.121527777777786</v>
      </c>
      <c r="J12" s="6">
        <f>'Sc.2a Zelf ontw. basic'!E20</f>
        <v>48.072916666666664</v>
      </c>
      <c r="L12" t="s">
        <v>17</v>
      </c>
      <c r="M12" s="1">
        <f>C8</f>
        <v>76.276041666666671</v>
      </c>
      <c r="N12" s="1">
        <f t="shared" ref="N12:O12" si="4">D8</f>
        <v>53.59375</v>
      </c>
      <c r="O12" s="1">
        <f t="shared" si="4"/>
        <v>37.489583333333336</v>
      </c>
    </row>
    <row r="13" spans="2:15">
      <c r="B13" s="7" t="s">
        <v>113</v>
      </c>
      <c r="C13" s="16">
        <f>'Sc.2b Zelf ontw. sensordata'!C17</f>
        <v>74.401041666666671</v>
      </c>
      <c r="D13" s="1">
        <f>'Sc.2b Zelf ontw. sensordata'!D17</f>
        <v>47.89930555555555</v>
      </c>
      <c r="E13" s="8">
        <f>'Sc.2b Zelf ontw. sensordata'!E17</f>
        <v>28.739583333333332</v>
      </c>
      <c r="G13" s="7" t="s">
        <v>113</v>
      </c>
      <c r="H13" s="16">
        <f>'Sc.2b Zelf ontw. sensordata'!C24</f>
        <v>147.31770833333334</v>
      </c>
      <c r="I13" s="1">
        <f>'Sc.2b Zelf ontw. sensordata'!D24</f>
        <v>96.510416666666671</v>
      </c>
      <c r="J13" s="8">
        <f>'Sc.2b Zelf ontw. sensordata'!E24</f>
        <v>57.90625</v>
      </c>
      <c r="L13" t="s">
        <v>108</v>
      </c>
      <c r="M13" s="1">
        <f>C13</f>
        <v>74.401041666666671</v>
      </c>
      <c r="N13" s="1">
        <f t="shared" ref="N13:O13" si="5">D13</f>
        <v>47.89930555555555</v>
      </c>
      <c r="O13" s="1">
        <f t="shared" si="5"/>
        <v>28.739583333333332</v>
      </c>
    </row>
    <row r="14" spans="2:15" ht="15.75" thickBot="1">
      <c r="B14" s="9" t="s">
        <v>114</v>
      </c>
      <c r="C14" s="17">
        <f>'Sc.2c Zelf ontw. sociodemo'!C17</f>
        <v>95.234375</v>
      </c>
      <c r="D14" s="10">
        <f>'Sc.2c Zelf ontw. sociodemo'!D17</f>
        <v>61.78819444444445</v>
      </c>
      <c r="E14" s="11">
        <f>'Sc.2c Zelf ontw. sociodemo'!E17</f>
        <v>37.072916666666664</v>
      </c>
      <c r="G14" s="9" t="s">
        <v>114</v>
      </c>
      <c r="H14" s="17">
        <f>'Sc.2c Zelf ontw. sociodemo'!C24</f>
        <v>168.15104166666666</v>
      </c>
      <c r="I14" s="10">
        <f>'Sc.2c Zelf ontw. sociodemo'!D24</f>
        <v>110.39930555555556</v>
      </c>
      <c r="J14" s="11">
        <f>'Sc.2c Zelf ontw. sociodemo'!E24</f>
        <v>66.239583333333329</v>
      </c>
      <c r="L14" t="s">
        <v>110</v>
      </c>
      <c r="M14" s="1">
        <f>C18</f>
        <v>61.380208333333336</v>
      </c>
      <c r="N14" s="1">
        <f t="shared" ref="N14:O14" si="6">D18</f>
        <v>39.21875</v>
      </c>
      <c r="O14" s="1">
        <f t="shared" si="6"/>
        <v>23.53125</v>
      </c>
    </row>
    <row r="15" spans="2:15" ht="15.75" thickBot="1"/>
    <row r="16" spans="2:15" ht="15.75" thickBot="1">
      <c r="C16" s="48" t="s">
        <v>102</v>
      </c>
      <c r="D16" s="49"/>
      <c r="E16" s="50"/>
      <c r="H16" s="48" t="s">
        <v>103</v>
      </c>
      <c r="I16" s="49"/>
      <c r="J16" s="50"/>
      <c r="M16" t="s">
        <v>115</v>
      </c>
    </row>
    <row r="17" spans="2:15">
      <c r="B17" s="4" t="s">
        <v>116</v>
      </c>
      <c r="C17" s="15">
        <f>'Sc.3a Vendor dashboard basic'!C15</f>
        <v>36.796875</v>
      </c>
      <c r="D17" s="5">
        <f>'Sc.3a Vendor dashboard basic'!D15</f>
        <v>22.829861111111111</v>
      </c>
      <c r="E17" s="6">
        <f>'Sc.3a Vendor dashboard basic'!E15</f>
        <v>13.697916666666666</v>
      </c>
      <c r="G17" s="4" t="s">
        <v>116</v>
      </c>
      <c r="H17" s="15">
        <f>'Sc.3a Vendor dashboard basic'!C20</f>
        <v>36.796875</v>
      </c>
      <c r="I17" s="5">
        <f>'Sc.3a Vendor dashboard basic'!D20</f>
        <v>22.829861111111111</v>
      </c>
      <c r="J17" s="6">
        <f>'Sc.3a Vendor dashboard basic'!E20</f>
        <v>13.697916666666666</v>
      </c>
      <c r="L17" t="s">
        <v>17</v>
      </c>
      <c r="M17" s="1">
        <f>C9</f>
        <v>97.109375</v>
      </c>
      <c r="N17" s="1">
        <f t="shared" ref="N17:O17" si="7">D9</f>
        <v>67.482638888888886</v>
      </c>
      <c r="O17" s="1">
        <f t="shared" si="7"/>
        <v>45.822916666666664</v>
      </c>
    </row>
    <row r="18" spans="2:15">
      <c r="B18" s="7" t="s">
        <v>117</v>
      </c>
      <c r="C18" s="16">
        <f>'Sc.3b Vendor sensordata'!C17</f>
        <v>61.380208333333336</v>
      </c>
      <c r="D18" s="1">
        <f>'Sc.3b Vendor sensordata'!D17</f>
        <v>39.21875</v>
      </c>
      <c r="E18" s="8">
        <f>'Sc.3b Vendor sensordata'!E17</f>
        <v>23.53125</v>
      </c>
      <c r="G18" s="7" t="s">
        <v>117</v>
      </c>
      <c r="H18" s="16">
        <f>'Sc.3b Vendor sensordata'!C24</f>
        <v>61.380208333333336</v>
      </c>
      <c r="I18" s="1">
        <f>'Sc.3b Vendor sensordata'!D24</f>
        <v>39.21875</v>
      </c>
      <c r="J18" s="8">
        <f>'Sc.3b Vendor sensordata'!E24</f>
        <v>23.53125</v>
      </c>
      <c r="L18" t="s">
        <v>108</v>
      </c>
      <c r="M18" s="1">
        <f>C14</f>
        <v>95.234375</v>
      </c>
      <c r="N18" s="1">
        <f t="shared" ref="N18:O18" si="8">D14</f>
        <v>61.78819444444445</v>
      </c>
      <c r="O18" s="1">
        <f t="shared" si="8"/>
        <v>37.072916666666664</v>
      </c>
    </row>
    <row r="19" spans="2:15" ht="15.75" thickBot="1">
      <c r="B19" s="9" t="s">
        <v>118</v>
      </c>
      <c r="C19" s="17">
        <f>'Sc.3c Vendor sociodemos'!C17</f>
        <v>82.213541666666671</v>
      </c>
      <c r="D19" s="10">
        <f>'Sc.3c Vendor sociodemos'!D17</f>
        <v>53.107638888888886</v>
      </c>
      <c r="E19" s="11">
        <f>'Sc.3c Vendor sociodemos'!E17</f>
        <v>31.864583333333332</v>
      </c>
      <c r="G19" s="9" t="s">
        <v>118</v>
      </c>
      <c r="H19" s="17">
        <f>'Sc.3c Vendor sociodemos'!C24</f>
        <v>82.213541666666671</v>
      </c>
      <c r="I19" s="10">
        <f>'Sc.3c Vendor sociodemos'!D24</f>
        <v>53.107638888888886</v>
      </c>
      <c r="J19" s="11">
        <f>'Sc.3c Vendor sociodemos'!E24</f>
        <v>31.864583333333332</v>
      </c>
      <c r="L19" t="s">
        <v>110</v>
      </c>
      <c r="M19" s="1">
        <f>C19</f>
        <v>82.213541666666671</v>
      </c>
      <c r="N19" s="1">
        <f t="shared" ref="N19:O19" si="9">D19</f>
        <v>53.107638888888886</v>
      </c>
      <c r="O19" s="1">
        <f t="shared" si="9"/>
        <v>31.864583333333332</v>
      </c>
    </row>
    <row r="21" spans="2:15">
      <c r="L21" s="47" t="s">
        <v>103</v>
      </c>
      <c r="M21" s="47"/>
      <c r="N21" s="47"/>
      <c r="O21" s="47"/>
    </row>
    <row r="23" spans="2:15">
      <c r="M23" t="s">
        <v>104</v>
      </c>
    </row>
    <row r="24" spans="2:15">
      <c r="L24" t="s">
        <v>106</v>
      </c>
      <c r="M24" s="1">
        <f>H7</f>
        <v>54.192708333333336</v>
      </c>
      <c r="N24" s="1">
        <f t="shared" ref="N24:O24" si="10">I7</f>
        <v>38.871527777777779</v>
      </c>
      <c r="O24" s="1">
        <f t="shared" si="10"/>
        <v>28.65625</v>
      </c>
    </row>
    <row r="25" spans="2:15">
      <c r="L25" t="s">
        <v>108</v>
      </c>
      <c r="M25" s="1">
        <f>H12</f>
        <v>122.734375</v>
      </c>
      <c r="N25" s="1">
        <f t="shared" ref="N25:O25" si="11">I12</f>
        <v>80.121527777777786</v>
      </c>
      <c r="O25" s="1">
        <f t="shared" si="11"/>
        <v>48.072916666666664</v>
      </c>
    </row>
    <row r="26" spans="2:15">
      <c r="L26" t="s">
        <v>110</v>
      </c>
      <c r="M26" s="1">
        <f>H17</f>
        <v>36.796875</v>
      </c>
      <c r="N26" s="1">
        <f t="shared" ref="N26:O26" si="12">I17</f>
        <v>22.829861111111111</v>
      </c>
      <c r="O26" s="1">
        <f t="shared" si="12"/>
        <v>13.697916666666666</v>
      </c>
    </row>
    <row r="28" spans="2:15">
      <c r="M28" t="s">
        <v>111</v>
      </c>
    </row>
    <row r="29" spans="2:15">
      <c r="L29" t="s">
        <v>17</v>
      </c>
      <c r="M29" s="1">
        <f>H8</f>
        <v>78.776041666666671</v>
      </c>
      <c r="N29" s="1">
        <f t="shared" ref="N29:O29" si="13">I8</f>
        <v>55.260416666666664</v>
      </c>
      <c r="O29" s="1">
        <f t="shared" si="13"/>
        <v>38.489583333333336</v>
      </c>
    </row>
    <row r="30" spans="2:15">
      <c r="L30" t="s">
        <v>108</v>
      </c>
      <c r="M30" s="1">
        <f>H13</f>
        <v>147.31770833333334</v>
      </c>
      <c r="N30" s="1">
        <f t="shared" ref="N30:O30" si="14">I13</f>
        <v>96.510416666666671</v>
      </c>
      <c r="O30" s="1">
        <f t="shared" si="14"/>
        <v>57.90625</v>
      </c>
    </row>
    <row r="31" spans="2:15">
      <c r="L31" t="s">
        <v>110</v>
      </c>
      <c r="M31" s="1">
        <f>H18</f>
        <v>61.380208333333336</v>
      </c>
      <c r="N31" s="1">
        <f t="shared" ref="N31:O31" si="15">I18</f>
        <v>39.21875</v>
      </c>
      <c r="O31" s="1">
        <f t="shared" si="15"/>
        <v>23.53125</v>
      </c>
    </row>
    <row r="33" spans="12:15">
      <c r="M33" t="s">
        <v>115</v>
      </c>
    </row>
    <row r="34" spans="12:15">
      <c r="L34" t="s">
        <v>17</v>
      </c>
      <c r="M34" s="1">
        <f>H9</f>
        <v>99.609375</v>
      </c>
      <c r="N34" s="1">
        <f t="shared" ref="N34:O34" si="16">I9</f>
        <v>69.149305555555557</v>
      </c>
      <c r="O34" s="1">
        <f t="shared" si="16"/>
        <v>46.822916666666664</v>
      </c>
    </row>
    <row r="35" spans="12:15">
      <c r="L35" t="s">
        <v>108</v>
      </c>
      <c r="M35" s="1">
        <f>H14</f>
        <v>168.15104166666666</v>
      </c>
      <c r="N35" s="1">
        <f t="shared" ref="N35:O35" si="17">I14</f>
        <v>110.39930555555556</v>
      </c>
      <c r="O35" s="1">
        <f t="shared" si="17"/>
        <v>66.239583333333329</v>
      </c>
    </row>
    <row r="36" spans="12:15">
      <c r="L36" t="s">
        <v>110</v>
      </c>
      <c r="M36" s="1">
        <f>H19</f>
        <v>82.213541666666671</v>
      </c>
      <c r="N36" s="1">
        <f t="shared" ref="N36:O36" si="18">I19</f>
        <v>53.107638888888886</v>
      </c>
      <c r="O36" s="1">
        <f t="shared" si="18"/>
        <v>31.864583333333332</v>
      </c>
    </row>
  </sheetData>
  <mergeCells count="8">
    <mergeCell ref="L4:O4"/>
    <mergeCell ref="L21:O21"/>
    <mergeCell ref="C6:E6"/>
    <mergeCell ref="H6:J6"/>
    <mergeCell ref="C11:E11"/>
    <mergeCell ref="C16:E16"/>
    <mergeCell ref="H11:J11"/>
    <mergeCell ref="H16:J16"/>
  </mergeCells>
  <conditionalFormatting sqref="C3">
    <cfRule type="containsText" dxfId="3" priority="3" operator="containsText" text="verschillend">
      <formula>NOT(ISERROR(SEARCH("verschillend",C3)))</formula>
    </cfRule>
    <cfRule type="containsText" dxfId="2" priority="4" operator="containsText" text="gelijk">
      <formula>NOT(ISERROR(SEARCH("gelijk",C3)))</formula>
    </cfRule>
  </conditionalFormatting>
  <conditionalFormatting sqref="H3">
    <cfRule type="containsText" dxfId="1" priority="1" operator="containsText" text="verschillend">
      <formula>NOT(ISERROR(SEARCH("verschillend",H3)))</formula>
    </cfRule>
    <cfRule type="containsText" dxfId="0" priority="2" operator="containsText" text="gelijk">
      <formula>NOT(ISERROR(SEARCH("gelijk",H3)))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65133-5224-48B2-811F-3C7F15289C71}">
  <sheetPr codeName="Sheet3"/>
  <dimension ref="A1:M22"/>
  <sheetViews>
    <sheetView zoomScale="110" zoomScaleNormal="110" workbookViewId="0">
      <selection activeCell="H22" sqref="H22"/>
    </sheetView>
  </sheetViews>
  <sheetFormatPr defaultRowHeight="15"/>
  <cols>
    <col min="2" max="2" width="30.28515625" bestFit="1" customWidth="1"/>
    <col min="3" max="3" width="10" bestFit="1" customWidth="1"/>
    <col min="4" max="5" width="9" bestFit="1" customWidth="1"/>
    <col min="7" max="7" width="30.140625" customWidth="1"/>
    <col min="10" max="10" width="14.7109375" bestFit="1" customWidth="1"/>
  </cols>
  <sheetData>
    <row r="1" spans="1:13">
      <c r="C1" t="s">
        <v>53</v>
      </c>
      <c r="D1" t="s">
        <v>54</v>
      </c>
      <c r="E1" t="s">
        <v>55</v>
      </c>
      <c r="G1" t="s">
        <v>56</v>
      </c>
      <c r="K1" t="s">
        <v>53</v>
      </c>
      <c r="L1" t="s">
        <v>54</v>
      </c>
      <c r="M1" t="s">
        <v>57</v>
      </c>
    </row>
    <row r="2" spans="1:13">
      <c r="A2" t="s">
        <v>58</v>
      </c>
      <c r="B2" t="s">
        <v>59</v>
      </c>
      <c r="C2" s="2">
        <f>12000</f>
        <v>12000</v>
      </c>
      <c r="D2" s="1"/>
      <c r="E2" s="1"/>
      <c r="G2" t="s">
        <v>60</v>
      </c>
      <c r="I2" t="s">
        <v>61</v>
      </c>
      <c r="J2" t="s">
        <v>62</v>
      </c>
      <c r="K2" s="2">
        <v>4</v>
      </c>
      <c r="L2" s="2">
        <v>4</v>
      </c>
      <c r="M2" s="2">
        <v>4</v>
      </c>
    </row>
    <row r="3" spans="1:13">
      <c r="B3" t="s">
        <v>63</v>
      </c>
      <c r="C3" s="2">
        <f>$K8*15</f>
        <v>3375</v>
      </c>
      <c r="D3" s="2">
        <f>$K8*15</f>
        <v>3375</v>
      </c>
      <c r="E3" s="2">
        <f>$K8*15</f>
        <v>3375</v>
      </c>
      <c r="G3" t="s">
        <v>64</v>
      </c>
      <c r="J3" t="s">
        <v>65</v>
      </c>
      <c r="K3" s="20">
        <v>80</v>
      </c>
      <c r="L3" s="20">
        <v>120</v>
      </c>
      <c r="M3" s="20">
        <v>200</v>
      </c>
    </row>
    <row r="4" spans="1:13">
      <c r="J4" t="s">
        <v>66</v>
      </c>
      <c r="K4" s="2">
        <v>747</v>
      </c>
      <c r="L4" s="2">
        <v>747</v>
      </c>
      <c r="M4" s="2">
        <v>747</v>
      </c>
    </row>
    <row r="5" spans="1:13">
      <c r="A5" t="s">
        <v>67</v>
      </c>
      <c r="B5" t="s">
        <v>68</v>
      </c>
      <c r="C5" s="2">
        <v>1500</v>
      </c>
      <c r="D5" s="2">
        <v>1500</v>
      </c>
      <c r="E5" s="2">
        <v>1500</v>
      </c>
      <c r="J5" t="s">
        <v>69</v>
      </c>
      <c r="K5" s="2">
        <v>160</v>
      </c>
      <c r="L5" s="2">
        <v>160</v>
      </c>
      <c r="M5" s="2">
        <v>160</v>
      </c>
    </row>
    <row r="6" spans="1:13">
      <c r="B6" t="s">
        <v>70</v>
      </c>
      <c r="C6" s="2">
        <v>10000</v>
      </c>
      <c r="D6" s="2">
        <v>10000</v>
      </c>
      <c r="E6" s="2">
        <v>10000</v>
      </c>
      <c r="G6" t="s">
        <v>71</v>
      </c>
      <c r="I6" t="s">
        <v>72</v>
      </c>
      <c r="J6" t="s">
        <v>73</v>
      </c>
      <c r="K6" s="1">
        <f>K2*K4+K3*K5</f>
        <v>15788</v>
      </c>
      <c r="L6" s="1">
        <f>L2*L4+L3*L5</f>
        <v>22188</v>
      </c>
      <c r="M6" s="1">
        <f>M2*M4+M3*M5</f>
        <v>34988</v>
      </c>
    </row>
    <row r="7" spans="1:13">
      <c r="B7" t="s">
        <v>74</v>
      </c>
      <c r="C7" s="2">
        <v>21950</v>
      </c>
      <c r="D7" s="2">
        <v>19500</v>
      </c>
      <c r="E7" s="2">
        <v>19500</v>
      </c>
      <c r="G7" t="s">
        <v>75</v>
      </c>
      <c r="J7" s="19"/>
    </row>
    <row r="8" spans="1:13">
      <c r="B8" t="s">
        <v>76</v>
      </c>
      <c r="C8" s="2">
        <v>0</v>
      </c>
      <c r="D8" s="2">
        <v>0</v>
      </c>
      <c r="E8" s="2">
        <v>0</v>
      </c>
      <c r="J8" t="s">
        <v>77</v>
      </c>
      <c r="K8">
        <f>4500/20</f>
        <v>225</v>
      </c>
    </row>
    <row r="9" spans="1:13">
      <c r="B9" t="s">
        <v>78</v>
      </c>
      <c r="C9" s="2">
        <v>0</v>
      </c>
      <c r="D9" s="2">
        <v>0</v>
      </c>
      <c r="E9" s="2">
        <v>0</v>
      </c>
    </row>
    <row r="10" spans="1:13">
      <c r="B10" t="s">
        <v>79</v>
      </c>
      <c r="C10" s="2"/>
      <c r="D10" s="2"/>
      <c r="E10" s="2"/>
      <c r="J10" s="19"/>
    </row>
    <row r="11" spans="1:13">
      <c r="B11" t="s">
        <v>80</v>
      </c>
      <c r="C11" s="1">
        <f>K6</f>
        <v>15788</v>
      </c>
      <c r="D11" s="1">
        <f>L6</f>
        <v>22188</v>
      </c>
      <c r="E11" s="1">
        <f>M6</f>
        <v>34988</v>
      </c>
      <c r="K11" s="1"/>
      <c r="L11" s="1"/>
      <c r="M11" s="1"/>
    </row>
    <row r="12" spans="1:13">
      <c r="J12" s="1"/>
      <c r="K12" s="1"/>
      <c r="L12" s="1"/>
    </row>
    <row r="13" spans="1:13">
      <c r="A13" t="s">
        <v>81</v>
      </c>
      <c r="B13" s="3" t="s">
        <v>82</v>
      </c>
      <c r="C13" s="1">
        <f>SUM(C3:C11)</f>
        <v>52613</v>
      </c>
      <c r="D13" s="1">
        <f>SUM(D3:D11)</f>
        <v>56563</v>
      </c>
      <c r="E13" s="1">
        <f>SUM(E3:E11)</f>
        <v>69363</v>
      </c>
      <c r="J13" s="1"/>
      <c r="K13" s="1"/>
      <c r="L13" s="1"/>
    </row>
    <row r="14" spans="1:13">
      <c r="B14" t="s">
        <v>83</v>
      </c>
      <c r="C14" s="1">
        <f>C13-(K2*K4)</f>
        <v>49625</v>
      </c>
      <c r="D14" s="1">
        <f>D13-(L2*L4)</f>
        <v>53575</v>
      </c>
      <c r="E14" s="1">
        <f>E13-(M2*M4)</f>
        <v>66375</v>
      </c>
      <c r="J14" s="1"/>
      <c r="K14" s="1"/>
      <c r="L14" s="1"/>
    </row>
    <row r="15" spans="1:13">
      <c r="B15" t="s">
        <v>84</v>
      </c>
      <c r="C15" s="22">
        <f>C14/K3</f>
        <v>620.3125</v>
      </c>
      <c r="D15" s="22">
        <f>D14/L3</f>
        <v>446.45833333333331</v>
      </c>
      <c r="E15" s="22">
        <f>E14/M3</f>
        <v>331.875</v>
      </c>
    </row>
    <row r="16" spans="1:13">
      <c r="B16" t="s">
        <v>85</v>
      </c>
      <c r="C16" s="21">
        <f>C15/12</f>
        <v>51.692708333333336</v>
      </c>
      <c r="D16" s="21">
        <f t="shared" ref="D16:E16" si="0">D15/12</f>
        <v>37.204861111111107</v>
      </c>
      <c r="E16" s="21">
        <f t="shared" si="0"/>
        <v>27.65625</v>
      </c>
    </row>
    <row r="17" spans="1:9">
      <c r="C17" s="18"/>
      <c r="D17" s="18"/>
      <c r="E17" s="18"/>
    </row>
    <row r="18" spans="1:9">
      <c r="A18" t="s">
        <v>86</v>
      </c>
      <c r="B18" s="3" t="s">
        <v>87</v>
      </c>
      <c r="C18" s="1">
        <f>C13+$C2/5</f>
        <v>55013</v>
      </c>
      <c r="D18" s="1">
        <f t="shared" ref="D18:E18" si="1">D13+$C2/5</f>
        <v>58963</v>
      </c>
      <c r="E18" s="1">
        <f t="shared" si="1"/>
        <v>71763</v>
      </c>
    </row>
    <row r="19" spans="1:9">
      <c r="B19" t="s">
        <v>83</v>
      </c>
      <c r="C19" s="1">
        <f>C18-(K2*K4)</f>
        <v>52025</v>
      </c>
      <c r="D19" s="1">
        <f t="shared" ref="D19:E19" si="2">D18-(L2*L4)</f>
        <v>55975</v>
      </c>
      <c r="E19" s="1">
        <f t="shared" si="2"/>
        <v>68775</v>
      </c>
      <c r="F19" s="1"/>
    </row>
    <row r="20" spans="1:9">
      <c r="B20" t="s">
        <v>84</v>
      </c>
      <c r="C20" s="22">
        <f>C19/K3</f>
        <v>650.3125</v>
      </c>
      <c r="D20" s="22">
        <f>D19/L3</f>
        <v>466.45833333333331</v>
      </c>
      <c r="E20" s="22">
        <f>E19/M3</f>
        <v>343.875</v>
      </c>
    </row>
    <row r="21" spans="1:9">
      <c r="B21" t="s">
        <v>85</v>
      </c>
      <c r="C21" s="21">
        <f>C20/12</f>
        <v>54.192708333333336</v>
      </c>
      <c r="D21" s="21">
        <f t="shared" ref="D21:E21" si="3">D20/12</f>
        <v>38.871527777777779</v>
      </c>
      <c r="E21" s="21">
        <f t="shared" si="3"/>
        <v>28.65625</v>
      </c>
      <c r="H21" s="18"/>
      <c r="I21" s="18"/>
    </row>
    <row r="22" spans="1:9">
      <c r="I22" s="18"/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6BA4A-4CF5-4C94-B63C-108467A82A66}">
  <sheetPr codeName="Sheet1"/>
  <dimension ref="A1:N26"/>
  <sheetViews>
    <sheetView zoomScale="110" zoomScaleNormal="110" workbookViewId="0">
      <selection activeCell="C2" sqref="C2"/>
    </sheetView>
  </sheetViews>
  <sheetFormatPr defaultRowHeight="15"/>
  <cols>
    <col min="2" max="2" width="30.28515625" bestFit="1" customWidth="1"/>
    <col min="3" max="3" width="10" bestFit="1" customWidth="1"/>
    <col min="4" max="5" width="9" bestFit="1" customWidth="1"/>
    <col min="7" max="7" width="30.140625" customWidth="1"/>
    <col min="10" max="10" width="18.42578125" customWidth="1"/>
  </cols>
  <sheetData>
    <row r="1" spans="1:13">
      <c r="C1" t="s">
        <v>53</v>
      </c>
      <c r="D1" t="s">
        <v>54</v>
      </c>
      <c r="E1" t="s">
        <v>55</v>
      </c>
      <c r="G1" t="s">
        <v>56</v>
      </c>
      <c r="K1" t="s">
        <v>53</v>
      </c>
      <c r="L1" t="s">
        <v>54</v>
      </c>
      <c r="M1" t="s">
        <v>57</v>
      </c>
    </row>
    <row r="2" spans="1:13">
      <c r="A2" t="s">
        <v>58</v>
      </c>
      <c r="B2" t="s">
        <v>59</v>
      </c>
      <c r="C2" s="2">
        <f>12000</f>
        <v>12000</v>
      </c>
      <c r="D2" s="1"/>
      <c r="E2" s="1"/>
      <c r="G2" t="s">
        <v>60</v>
      </c>
      <c r="I2" t="s">
        <v>61</v>
      </c>
      <c r="J2" t="s">
        <v>62</v>
      </c>
      <c r="K2" s="2">
        <v>4</v>
      </c>
      <c r="L2" s="2">
        <v>4</v>
      </c>
      <c r="M2" s="2">
        <v>4</v>
      </c>
    </row>
    <row r="3" spans="1:13">
      <c r="B3" t="s">
        <v>63</v>
      </c>
      <c r="C3" s="2">
        <f>$K8*15</f>
        <v>3375</v>
      </c>
      <c r="D3" s="2">
        <f>$K8*15</f>
        <v>3375</v>
      </c>
      <c r="E3" s="2">
        <f>$K8*15</f>
        <v>3375</v>
      </c>
      <c r="G3" t="s">
        <v>64</v>
      </c>
      <c r="J3" t="s">
        <v>65</v>
      </c>
      <c r="K3" s="20">
        <v>80</v>
      </c>
      <c r="L3" s="20">
        <v>120</v>
      </c>
      <c r="M3" s="20">
        <v>200</v>
      </c>
    </row>
    <row r="4" spans="1:13">
      <c r="C4" s="1"/>
      <c r="D4" s="1"/>
      <c r="E4" s="1"/>
      <c r="J4" t="s">
        <v>66</v>
      </c>
      <c r="K4" s="2">
        <v>747</v>
      </c>
      <c r="L4" s="2">
        <v>747</v>
      </c>
      <c r="M4" s="2">
        <v>747</v>
      </c>
    </row>
    <row r="5" spans="1:13">
      <c r="A5" t="s">
        <v>67</v>
      </c>
      <c r="B5" t="s">
        <v>68</v>
      </c>
      <c r="C5" s="2">
        <v>1500</v>
      </c>
      <c r="D5" s="2">
        <v>1500</v>
      </c>
      <c r="E5" s="2">
        <v>1500</v>
      </c>
      <c r="J5" t="s">
        <v>69</v>
      </c>
      <c r="K5" s="2">
        <v>160</v>
      </c>
      <c r="L5" s="2">
        <v>160</v>
      </c>
      <c r="M5" s="2">
        <v>160</v>
      </c>
    </row>
    <row r="6" spans="1:13">
      <c r="B6" t="s">
        <v>70</v>
      </c>
      <c r="C6" s="2">
        <v>10000</v>
      </c>
      <c r="D6" s="2">
        <v>10000</v>
      </c>
      <c r="E6" s="2">
        <v>10000</v>
      </c>
      <c r="G6" t="s">
        <v>71</v>
      </c>
      <c r="I6" t="s">
        <v>72</v>
      </c>
      <c r="J6" t="s">
        <v>73</v>
      </c>
      <c r="K6" s="1">
        <f>K2*K4+K3*K5</f>
        <v>15788</v>
      </c>
      <c r="L6" s="1">
        <f>L2*L4+L3*L5</f>
        <v>22188</v>
      </c>
      <c r="M6" s="1">
        <f>M2*M4+M3*M5</f>
        <v>34988</v>
      </c>
    </row>
    <row r="7" spans="1:13">
      <c r="B7" t="s">
        <v>74</v>
      </c>
      <c r="C7" s="2">
        <v>21950</v>
      </c>
      <c r="D7" s="2">
        <v>19500</v>
      </c>
      <c r="E7" s="2">
        <v>19500</v>
      </c>
      <c r="G7" t="s">
        <v>75</v>
      </c>
      <c r="J7" s="19"/>
    </row>
    <row r="8" spans="1:13">
      <c r="B8" t="s">
        <v>76</v>
      </c>
      <c r="C8" s="2">
        <v>23600</v>
      </c>
      <c r="D8" s="2">
        <v>23600</v>
      </c>
      <c r="E8" s="2">
        <v>23600</v>
      </c>
      <c r="G8" t="s">
        <v>88</v>
      </c>
      <c r="J8" t="s">
        <v>77</v>
      </c>
      <c r="K8">
        <f>4500/20</f>
        <v>225</v>
      </c>
    </row>
    <row r="9" spans="1:13">
      <c r="B9" t="s">
        <v>78</v>
      </c>
      <c r="C9" s="2">
        <v>0</v>
      </c>
      <c r="D9" s="2">
        <v>0</v>
      </c>
      <c r="E9" s="2">
        <v>0</v>
      </c>
    </row>
    <row r="10" spans="1:13">
      <c r="B10" t="s">
        <v>79</v>
      </c>
      <c r="C10" s="2"/>
      <c r="D10" s="2"/>
      <c r="E10" s="2"/>
      <c r="I10" t="s">
        <v>89</v>
      </c>
      <c r="J10" s="19" t="s">
        <v>90</v>
      </c>
      <c r="K10" s="18">
        <v>25</v>
      </c>
    </row>
    <row r="11" spans="1:13">
      <c r="B11" t="s">
        <v>80</v>
      </c>
      <c r="C11" s="1">
        <f>K6</f>
        <v>15788</v>
      </c>
      <c r="D11" s="1">
        <f>L6</f>
        <v>22188</v>
      </c>
      <c r="E11" s="1">
        <f>M6</f>
        <v>34988</v>
      </c>
      <c r="J11" t="s">
        <v>91</v>
      </c>
      <c r="K11" s="1">
        <f>K3*($K10/100)</f>
        <v>20</v>
      </c>
      <c r="L11" s="1">
        <f t="shared" ref="L11:M11" si="0">L3*($K10/100)</f>
        <v>30</v>
      </c>
      <c r="M11" s="1">
        <f t="shared" si="0"/>
        <v>50</v>
      </c>
    </row>
    <row r="12" spans="1:13">
      <c r="C12" s="1"/>
      <c r="D12" s="1"/>
      <c r="E12" s="1"/>
      <c r="J12" t="s">
        <v>92</v>
      </c>
      <c r="K12" s="1">
        <f>K3-K11</f>
        <v>60</v>
      </c>
      <c r="L12" s="1">
        <f t="shared" ref="L12:M12" si="1">L3-L11</f>
        <v>90</v>
      </c>
      <c r="M12" s="1">
        <f t="shared" si="1"/>
        <v>150</v>
      </c>
    </row>
    <row r="13" spans="1:13">
      <c r="J13" s="1"/>
      <c r="K13" s="1"/>
      <c r="L13" s="1"/>
    </row>
    <row r="14" spans="1:13">
      <c r="A14" t="s">
        <v>81</v>
      </c>
      <c r="B14" s="3" t="s">
        <v>82</v>
      </c>
      <c r="C14" s="1">
        <f>SUM(C3:C11)</f>
        <v>76213</v>
      </c>
      <c r="D14" s="1">
        <f>SUM(D3:D11)</f>
        <v>80163</v>
      </c>
      <c r="E14" s="1">
        <f>SUM(E3:E11)</f>
        <v>92963</v>
      </c>
      <c r="I14" s="3" t="s">
        <v>93</v>
      </c>
      <c r="J14" s="1">
        <f>(SUM(C3:C7)+C11)</f>
        <v>52613</v>
      </c>
      <c r="K14" s="1">
        <f t="shared" ref="K14:L14" si="2">(SUM(D3:D7)+D11)</f>
        <v>56563</v>
      </c>
      <c r="L14" s="1">
        <f t="shared" si="2"/>
        <v>69363</v>
      </c>
    </row>
    <row r="15" spans="1:13">
      <c r="B15" t="s">
        <v>83</v>
      </c>
      <c r="C15" s="1">
        <f>C14-(K2*K4)</f>
        <v>73225</v>
      </c>
      <c r="D15" s="1">
        <f>D14-(L2*L4)</f>
        <v>77175</v>
      </c>
      <c r="E15" s="1">
        <f>E14-(M2*M4)</f>
        <v>89975</v>
      </c>
      <c r="I15" t="s">
        <v>94</v>
      </c>
      <c r="J15" s="1">
        <f>J14-(K2*K4)</f>
        <v>49625</v>
      </c>
      <c r="K15" s="1">
        <f t="shared" ref="K15:L15" si="3">K14-(L2*L4)</f>
        <v>53575</v>
      </c>
      <c r="L15" s="1">
        <f t="shared" si="3"/>
        <v>66375</v>
      </c>
    </row>
    <row r="16" spans="1:13">
      <c r="B16" t="s">
        <v>84</v>
      </c>
      <c r="C16" s="22">
        <f>C15/K3</f>
        <v>915.3125</v>
      </c>
      <c r="D16" s="22">
        <f>D15/L3</f>
        <v>643.125</v>
      </c>
      <c r="E16" s="22">
        <f>E15/M3</f>
        <v>449.875</v>
      </c>
      <c r="I16" t="s">
        <v>84</v>
      </c>
      <c r="J16" s="22">
        <f>J15/K3</f>
        <v>620.3125</v>
      </c>
      <c r="K16" s="22">
        <f t="shared" ref="K16:L16" si="4">K15/L3</f>
        <v>446.45833333333331</v>
      </c>
      <c r="L16" s="22">
        <f t="shared" si="4"/>
        <v>331.875</v>
      </c>
    </row>
    <row r="17" spans="1:14">
      <c r="B17" t="s">
        <v>85</v>
      </c>
      <c r="C17" s="21">
        <f>C16/12</f>
        <v>76.276041666666671</v>
      </c>
      <c r="D17" s="21">
        <f t="shared" ref="D17:E17" si="5">D16/12</f>
        <v>53.59375</v>
      </c>
      <c r="E17" s="21">
        <f t="shared" si="5"/>
        <v>37.489583333333336</v>
      </c>
      <c r="G17" t="s">
        <v>95</v>
      </c>
      <c r="I17" t="s">
        <v>85</v>
      </c>
      <c r="J17" s="21">
        <f>J16/12</f>
        <v>51.692708333333336</v>
      </c>
      <c r="K17" s="21">
        <f>K16/12</f>
        <v>37.204861111111107</v>
      </c>
      <c r="L17" s="21">
        <f>L16/12</f>
        <v>27.65625</v>
      </c>
      <c r="N17" t="s">
        <v>96</v>
      </c>
    </row>
    <row r="18" spans="1:14">
      <c r="C18" s="21"/>
      <c r="D18" s="21"/>
      <c r="E18" s="21"/>
      <c r="I18" t="s">
        <v>97</v>
      </c>
      <c r="J18" s="22">
        <f>(C8/K11)/12</f>
        <v>98.333333333333329</v>
      </c>
      <c r="K18" s="22">
        <f t="shared" ref="K18:L18" si="6">(D8/L11)/12</f>
        <v>65.555555555555557</v>
      </c>
      <c r="L18" s="22">
        <f t="shared" si="6"/>
        <v>39.333333333333336</v>
      </c>
    </row>
    <row r="19" spans="1:14">
      <c r="C19" s="21"/>
      <c r="D19" s="21"/>
      <c r="E19" s="21"/>
      <c r="I19" t="s">
        <v>98</v>
      </c>
      <c r="J19" s="21">
        <f>SUM(J17:J18)</f>
        <v>150.02604166666666</v>
      </c>
      <c r="K19" s="21">
        <f t="shared" ref="K19:L19" si="7">SUM(K17:K18)</f>
        <v>102.76041666666666</v>
      </c>
      <c r="L19" s="21">
        <f t="shared" si="7"/>
        <v>66.989583333333343</v>
      </c>
      <c r="N19" t="s">
        <v>99</v>
      </c>
    </row>
    <row r="20" spans="1:14">
      <c r="C20" s="18"/>
      <c r="D20" s="18"/>
      <c r="E20" s="18"/>
      <c r="J20" s="18"/>
      <c r="K20" s="18"/>
      <c r="L20" s="18"/>
    </row>
    <row r="21" spans="1:14">
      <c r="A21" t="s">
        <v>86</v>
      </c>
      <c r="B21" s="3" t="s">
        <v>87</v>
      </c>
      <c r="C21" s="1">
        <f>C14+$C2/5</f>
        <v>78613</v>
      </c>
      <c r="D21" s="1">
        <f>D14+$C2/5</f>
        <v>82563</v>
      </c>
      <c r="E21" s="1">
        <f>E14+$C2/5</f>
        <v>95363</v>
      </c>
      <c r="I21" s="3" t="s">
        <v>100</v>
      </c>
      <c r="J21" s="1">
        <f>J14+$C2/5</f>
        <v>55013</v>
      </c>
      <c r="K21" s="1">
        <f t="shared" ref="K21:L21" si="8">K14+$C2/5</f>
        <v>58963</v>
      </c>
      <c r="L21" s="1">
        <f t="shared" si="8"/>
        <v>71763</v>
      </c>
    </row>
    <row r="22" spans="1:14">
      <c r="B22" t="s">
        <v>83</v>
      </c>
      <c r="C22" s="1">
        <f>C21-K2*K4</f>
        <v>75625</v>
      </c>
      <c r="D22" s="1">
        <f>D21-L2*L4</f>
        <v>79575</v>
      </c>
      <c r="E22" s="1">
        <f>E21-M2*M4</f>
        <v>92375</v>
      </c>
      <c r="I22" t="s">
        <v>94</v>
      </c>
      <c r="J22" s="1">
        <f>J21-K2*K4</f>
        <v>52025</v>
      </c>
      <c r="K22" s="1">
        <f t="shared" ref="K22:L22" si="9">K21-L2*L4</f>
        <v>55975</v>
      </c>
      <c r="L22" s="1">
        <f t="shared" si="9"/>
        <v>68775</v>
      </c>
    </row>
    <row r="23" spans="1:14">
      <c r="B23" t="s">
        <v>84</v>
      </c>
      <c r="C23" s="22">
        <f>C22/K3</f>
        <v>945.3125</v>
      </c>
      <c r="D23" s="22">
        <f t="shared" ref="D23:E23" si="10">D22/L3</f>
        <v>663.125</v>
      </c>
      <c r="E23" s="22">
        <f t="shared" si="10"/>
        <v>461.875</v>
      </c>
      <c r="I23" t="s">
        <v>84</v>
      </c>
      <c r="J23" s="22">
        <f>J22/K3</f>
        <v>650.3125</v>
      </c>
      <c r="K23" s="22">
        <f t="shared" ref="K23:L23" si="11">K22/L3</f>
        <v>466.45833333333331</v>
      </c>
      <c r="L23" s="22">
        <f t="shared" si="11"/>
        <v>343.875</v>
      </c>
    </row>
    <row r="24" spans="1:14">
      <c r="B24" t="s">
        <v>85</v>
      </c>
      <c r="C24" s="21">
        <f>C23/12</f>
        <v>78.776041666666671</v>
      </c>
      <c r="D24" s="21">
        <f t="shared" ref="D24:E24" si="12">D23/12</f>
        <v>55.260416666666664</v>
      </c>
      <c r="E24" s="21">
        <f t="shared" si="12"/>
        <v>38.489583333333336</v>
      </c>
      <c r="G24" t="s">
        <v>95</v>
      </c>
      <c r="H24" s="18"/>
      <c r="I24" t="s">
        <v>85</v>
      </c>
      <c r="J24" s="21">
        <f>J23/12</f>
        <v>54.192708333333336</v>
      </c>
      <c r="K24" s="21">
        <f t="shared" ref="K24:L24" si="13">K23/12</f>
        <v>38.871527777777779</v>
      </c>
      <c r="L24" s="21">
        <f t="shared" si="13"/>
        <v>28.65625</v>
      </c>
      <c r="N24" t="s">
        <v>96</v>
      </c>
    </row>
    <row r="25" spans="1:14">
      <c r="I25" s="23" t="s">
        <v>97</v>
      </c>
      <c r="J25" s="1">
        <f>J18</f>
        <v>98.333333333333329</v>
      </c>
      <c r="K25" s="1">
        <f t="shared" ref="K25:L25" si="14">K18</f>
        <v>65.555555555555557</v>
      </c>
      <c r="L25" s="1">
        <f t="shared" si="14"/>
        <v>39.333333333333336</v>
      </c>
    </row>
    <row r="26" spans="1:14">
      <c r="I26" t="s">
        <v>98</v>
      </c>
      <c r="J26" s="21">
        <f>SUM(J24:J25)</f>
        <v>152.52604166666666</v>
      </c>
      <c r="K26" s="21">
        <f t="shared" ref="K26:L26" si="15">SUM(K24:K25)</f>
        <v>104.42708333333334</v>
      </c>
      <c r="L26" s="21">
        <f t="shared" si="15"/>
        <v>67.989583333333343</v>
      </c>
      <c r="N26" t="s">
        <v>99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5" r:id="rId4" name="Scroll Bar 3">
              <controlPr defaultSize="0" autoPict="0">
                <anchor moveWithCells="1">
                  <from>
                    <xdr:col>11</xdr:col>
                    <xdr:colOff>66675</xdr:colOff>
                    <xdr:row>8</xdr:row>
                    <xdr:rowOff>133350</xdr:rowOff>
                  </from>
                  <to>
                    <xdr:col>13</xdr:col>
                    <xdr:colOff>276225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2AF19-DD92-4DCC-8F67-8515B57C1567}">
  <sheetPr codeName="Sheet7"/>
  <dimension ref="A1:N26"/>
  <sheetViews>
    <sheetView zoomScale="110" zoomScaleNormal="110" workbookViewId="0">
      <selection activeCell="C2" sqref="C2"/>
    </sheetView>
  </sheetViews>
  <sheetFormatPr defaultRowHeight="15"/>
  <cols>
    <col min="2" max="2" width="30.28515625" bestFit="1" customWidth="1"/>
    <col min="3" max="3" width="10" bestFit="1" customWidth="1"/>
    <col min="4" max="5" width="9" bestFit="1" customWidth="1"/>
    <col min="7" max="7" width="30.140625" customWidth="1"/>
    <col min="10" max="10" width="18.42578125" customWidth="1"/>
  </cols>
  <sheetData>
    <row r="1" spans="1:13">
      <c r="C1" t="s">
        <v>53</v>
      </c>
      <c r="D1" t="s">
        <v>54</v>
      </c>
      <c r="E1" t="s">
        <v>55</v>
      </c>
      <c r="G1" t="s">
        <v>56</v>
      </c>
      <c r="K1" t="s">
        <v>53</v>
      </c>
      <c r="L1" t="s">
        <v>54</v>
      </c>
      <c r="M1" t="s">
        <v>57</v>
      </c>
    </row>
    <row r="2" spans="1:13">
      <c r="A2" t="s">
        <v>58</v>
      </c>
      <c r="B2" t="s">
        <v>59</v>
      </c>
      <c r="C2" s="2">
        <f>12000</f>
        <v>12000</v>
      </c>
      <c r="D2" s="1"/>
      <c r="E2" s="1"/>
      <c r="G2" t="s">
        <v>60</v>
      </c>
      <c r="I2" t="s">
        <v>61</v>
      </c>
      <c r="J2" t="s">
        <v>62</v>
      </c>
      <c r="K2" s="2">
        <v>4</v>
      </c>
      <c r="L2" s="2">
        <v>4</v>
      </c>
      <c r="M2" s="2">
        <v>4</v>
      </c>
    </row>
    <row r="3" spans="1:13">
      <c r="B3" t="s">
        <v>63</v>
      </c>
      <c r="C3" s="2">
        <f>$K8*15</f>
        <v>3375</v>
      </c>
      <c r="D3" s="2">
        <f>$K8*15</f>
        <v>3375</v>
      </c>
      <c r="E3" s="2">
        <f>$K8*15</f>
        <v>3375</v>
      </c>
      <c r="G3" t="s">
        <v>64</v>
      </c>
      <c r="J3" t="s">
        <v>65</v>
      </c>
      <c r="K3" s="20">
        <v>80</v>
      </c>
      <c r="L3" s="20">
        <v>120</v>
      </c>
      <c r="M3" s="20">
        <v>200</v>
      </c>
    </row>
    <row r="4" spans="1:13">
      <c r="C4" s="1"/>
      <c r="D4" s="1"/>
      <c r="E4" s="1"/>
      <c r="J4" t="s">
        <v>66</v>
      </c>
      <c r="K4" s="2">
        <v>747</v>
      </c>
      <c r="L4" s="2">
        <v>747</v>
      </c>
      <c r="M4" s="2">
        <v>747</v>
      </c>
    </row>
    <row r="5" spans="1:13">
      <c r="A5" t="s">
        <v>67</v>
      </c>
      <c r="B5" t="s">
        <v>68</v>
      </c>
      <c r="C5" s="2">
        <v>1500</v>
      </c>
      <c r="D5" s="2">
        <v>1500</v>
      </c>
      <c r="E5" s="2">
        <v>1500</v>
      </c>
      <c r="J5" t="s">
        <v>69</v>
      </c>
      <c r="K5" s="2">
        <v>160</v>
      </c>
      <c r="L5" s="2">
        <v>160</v>
      </c>
      <c r="M5" s="2">
        <v>160</v>
      </c>
    </row>
    <row r="6" spans="1:13">
      <c r="B6" t="s">
        <v>70</v>
      </c>
      <c r="C6" s="2">
        <v>10000</v>
      </c>
      <c r="D6" s="2">
        <v>10000</v>
      </c>
      <c r="E6" s="2">
        <v>10000</v>
      </c>
      <c r="G6" t="s">
        <v>71</v>
      </c>
      <c r="I6" t="s">
        <v>72</v>
      </c>
      <c r="J6" t="s">
        <v>73</v>
      </c>
      <c r="K6" s="1">
        <f>K2*K4+K3*K5</f>
        <v>15788</v>
      </c>
      <c r="L6" s="1">
        <f>L2*L4+L3*L5</f>
        <v>22188</v>
      </c>
      <c r="M6" s="1">
        <f>M2*M4+M3*M5</f>
        <v>34988</v>
      </c>
    </row>
    <row r="7" spans="1:13">
      <c r="B7" t="s">
        <v>74</v>
      </c>
      <c r="C7" s="2">
        <v>21950</v>
      </c>
      <c r="D7" s="2">
        <v>19500</v>
      </c>
      <c r="E7" s="2">
        <v>19500</v>
      </c>
      <c r="G7" t="s">
        <v>75</v>
      </c>
      <c r="J7" s="19"/>
    </row>
    <row r="8" spans="1:13">
      <c r="B8" t="s">
        <v>76</v>
      </c>
      <c r="C8" s="2">
        <v>23600</v>
      </c>
      <c r="D8" s="2">
        <v>23600</v>
      </c>
      <c r="E8" s="2">
        <v>23600</v>
      </c>
      <c r="G8" t="s">
        <v>88</v>
      </c>
      <c r="J8" t="s">
        <v>77</v>
      </c>
      <c r="K8">
        <f>4500/20</f>
        <v>225</v>
      </c>
    </row>
    <row r="9" spans="1:13">
      <c r="B9" t="s">
        <v>78</v>
      </c>
      <c r="C9" s="2">
        <v>20000</v>
      </c>
      <c r="D9" s="2">
        <v>20000</v>
      </c>
      <c r="E9" s="2">
        <v>20000</v>
      </c>
    </row>
    <row r="10" spans="1:13">
      <c r="B10" t="s">
        <v>79</v>
      </c>
      <c r="C10" s="2"/>
      <c r="D10" s="2"/>
      <c r="E10" s="2"/>
      <c r="I10" t="s">
        <v>89</v>
      </c>
      <c r="J10" s="19" t="s">
        <v>90</v>
      </c>
      <c r="K10" s="18">
        <v>25</v>
      </c>
    </row>
    <row r="11" spans="1:13">
      <c r="B11" t="s">
        <v>80</v>
      </c>
      <c r="C11" s="1">
        <f>K6</f>
        <v>15788</v>
      </c>
      <c r="D11" s="1">
        <f>L6</f>
        <v>22188</v>
      </c>
      <c r="E11" s="1">
        <f>M6</f>
        <v>34988</v>
      </c>
      <c r="J11" t="s">
        <v>91</v>
      </c>
      <c r="K11" s="1">
        <f>K3*($K10/100)</f>
        <v>20</v>
      </c>
      <c r="L11" s="1">
        <f t="shared" ref="L11:M11" si="0">L3*($K10/100)</f>
        <v>30</v>
      </c>
      <c r="M11" s="1">
        <f t="shared" si="0"/>
        <v>50</v>
      </c>
    </row>
    <row r="12" spans="1:13">
      <c r="C12" s="1"/>
      <c r="D12" s="1"/>
      <c r="E12" s="1"/>
      <c r="J12" t="s">
        <v>92</v>
      </c>
      <c r="K12" s="1">
        <f>K3-K11</f>
        <v>60</v>
      </c>
      <c r="L12" s="1">
        <f t="shared" ref="L12:M12" si="1">L3-L11</f>
        <v>90</v>
      </c>
      <c r="M12" s="1">
        <f t="shared" si="1"/>
        <v>150</v>
      </c>
    </row>
    <row r="13" spans="1:13">
      <c r="J13" s="1"/>
      <c r="K13" s="1"/>
      <c r="L13" s="1"/>
    </row>
    <row r="14" spans="1:13">
      <c r="A14" t="s">
        <v>81</v>
      </c>
      <c r="B14" s="3" t="s">
        <v>82</v>
      </c>
      <c r="C14" s="1">
        <f>SUM(C3:C11)</f>
        <v>96213</v>
      </c>
      <c r="D14" s="1">
        <f>SUM(D3:D11)</f>
        <v>100163</v>
      </c>
      <c r="E14" s="1">
        <f>SUM(E3:E11)</f>
        <v>112963</v>
      </c>
      <c r="I14" s="3" t="s">
        <v>93</v>
      </c>
      <c r="J14" s="1">
        <f>(SUM(C3:C7)+SUM(C9:C11))</f>
        <v>72613</v>
      </c>
      <c r="K14" s="1">
        <f t="shared" ref="K14:L14" si="2">(SUM(D3:D7)+SUM(D9:D11))</f>
        <v>76563</v>
      </c>
      <c r="L14" s="1">
        <f t="shared" si="2"/>
        <v>89363</v>
      </c>
    </row>
    <row r="15" spans="1:13">
      <c r="B15" t="s">
        <v>83</v>
      </c>
      <c r="C15" s="1">
        <f>C14-(K2*K4)</f>
        <v>93225</v>
      </c>
      <c r="D15" s="1">
        <f>D14-(L2*L4)</f>
        <v>97175</v>
      </c>
      <c r="E15" s="1">
        <f>E14-(M2*M4)</f>
        <v>109975</v>
      </c>
      <c r="I15" t="s">
        <v>94</v>
      </c>
      <c r="J15" s="1">
        <f>J14-(K2*K4)</f>
        <v>69625</v>
      </c>
      <c r="K15" s="1">
        <f t="shared" ref="K15:L15" si="3">K14-(L2*L4)</f>
        <v>73575</v>
      </c>
      <c r="L15" s="1">
        <f t="shared" si="3"/>
        <v>86375</v>
      </c>
    </row>
    <row r="16" spans="1:13">
      <c r="B16" t="s">
        <v>84</v>
      </c>
      <c r="C16" s="22">
        <f>C15/K3</f>
        <v>1165.3125</v>
      </c>
      <c r="D16" s="22">
        <f>D15/L3</f>
        <v>809.79166666666663</v>
      </c>
      <c r="E16" s="22">
        <f>E15/M3</f>
        <v>549.875</v>
      </c>
      <c r="I16" t="s">
        <v>84</v>
      </c>
      <c r="J16" s="22">
        <f>J15/K3</f>
        <v>870.3125</v>
      </c>
      <c r="K16" s="22">
        <f t="shared" ref="K16:L16" si="4">K15/L3</f>
        <v>613.125</v>
      </c>
      <c r="L16" s="22">
        <f t="shared" si="4"/>
        <v>431.875</v>
      </c>
    </row>
    <row r="17" spans="1:14">
      <c r="B17" t="s">
        <v>85</v>
      </c>
      <c r="C17" s="21">
        <f>C16/12</f>
        <v>97.109375</v>
      </c>
      <c r="D17" s="21">
        <f t="shared" ref="D17:E17" si="5">D16/12</f>
        <v>67.482638888888886</v>
      </c>
      <c r="E17" s="21">
        <f t="shared" si="5"/>
        <v>45.822916666666664</v>
      </c>
      <c r="G17" t="s">
        <v>95</v>
      </c>
      <c r="I17" t="s">
        <v>85</v>
      </c>
      <c r="J17" s="21">
        <f>J16/12</f>
        <v>72.526041666666671</v>
      </c>
      <c r="K17" s="21">
        <f>K16/12</f>
        <v>51.09375</v>
      </c>
      <c r="L17" s="21">
        <f>L16/12</f>
        <v>35.989583333333336</v>
      </c>
      <c r="N17" t="s">
        <v>96</v>
      </c>
    </row>
    <row r="18" spans="1:14">
      <c r="C18" s="21"/>
      <c r="D18" s="21"/>
      <c r="E18" s="21"/>
      <c r="I18" t="s">
        <v>97</v>
      </c>
      <c r="J18" s="22">
        <f>(C8/K11)/12</f>
        <v>98.333333333333329</v>
      </c>
      <c r="K18" s="22">
        <f t="shared" ref="K18:L18" si="6">(D8/L11)/12</f>
        <v>65.555555555555557</v>
      </c>
      <c r="L18" s="22">
        <f t="shared" si="6"/>
        <v>39.333333333333336</v>
      </c>
    </row>
    <row r="19" spans="1:14">
      <c r="C19" s="21"/>
      <c r="D19" s="21"/>
      <c r="E19" s="21"/>
      <c r="I19" t="s">
        <v>98</v>
      </c>
      <c r="J19" s="21">
        <f>SUM(J17:J18)</f>
        <v>170.859375</v>
      </c>
      <c r="K19" s="21">
        <f t="shared" ref="K19:L19" si="7">SUM(K17:K18)</f>
        <v>116.64930555555556</v>
      </c>
      <c r="L19" s="21">
        <f t="shared" si="7"/>
        <v>75.322916666666671</v>
      </c>
      <c r="N19" t="s">
        <v>99</v>
      </c>
    </row>
    <row r="20" spans="1:14">
      <c r="C20" s="18"/>
      <c r="D20" s="18"/>
      <c r="E20" s="18"/>
      <c r="J20" s="18"/>
      <c r="K20" s="18"/>
      <c r="L20" s="18"/>
    </row>
    <row r="21" spans="1:14">
      <c r="A21" t="s">
        <v>86</v>
      </c>
      <c r="B21" s="3" t="s">
        <v>87</v>
      </c>
      <c r="C21" s="1">
        <f>C14+$C2/5</f>
        <v>98613</v>
      </c>
      <c r="D21" s="1">
        <f>D14+$C2/5</f>
        <v>102563</v>
      </c>
      <c r="E21" s="1">
        <f>E14+$C2/5</f>
        <v>115363</v>
      </c>
      <c r="I21" s="3" t="s">
        <v>100</v>
      </c>
      <c r="J21" s="1">
        <f>J14+$C2/5</f>
        <v>75013</v>
      </c>
      <c r="K21" s="1">
        <f t="shared" ref="K21:L21" si="8">K14+$C2/5</f>
        <v>78963</v>
      </c>
      <c r="L21" s="1">
        <f t="shared" si="8"/>
        <v>91763</v>
      </c>
    </row>
    <row r="22" spans="1:14">
      <c r="B22" t="s">
        <v>83</v>
      </c>
      <c r="C22" s="1">
        <f>C21-K2*K4</f>
        <v>95625</v>
      </c>
      <c r="D22" s="1">
        <f>D21-L2*L4</f>
        <v>99575</v>
      </c>
      <c r="E22" s="1">
        <f>E21-M2*M4</f>
        <v>112375</v>
      </c>
      <c r="I22" t="s">
        <v>94</v>
      </c>
      <c r="J22" s="1">
        <f>J21-K2*K4</f>
        <v>72025</v>
      </c>
      <c r="K22" s="1">
        <f t="shared" ref="K22:L22" si="9">K21-L2*L4</f>
        <v>75975</v>
      </c>
      <c r="L22" s="1">
        <f t="shared" si="9"/>
        <v>88775</v>
      </c>
    </row>
    <row r="23" spans="1:14">
      <c r="B23" t="s">
        <v>84</v>
      </c>
      <c r="C23" s="22">
        <f>C22/K3</f>
        <v>1195.3125</v>
      </c>
      <c r="D23" s="22">
        <f t="shared" ref="D23:E23" si="10">D22/L3</f>
        <v>829.79166666666663</v>
      </c>
      <c r="E23" s="22">
        <f t="shared" si="10"/>
        <v>561.875</v>
      </c>
      <c r="I23" t="s">
        <v>84</v>
      </c>
      <c r="J23" s="22">
        <f>J22/K3</f>
        <v>900.3125</v>
      </c>
      <c r="K23" s="22">
        <f t="shared" ref="K23:L23" si="11">K22/L3</f>
        <v>633.125</v>
      </c>
      <c r="L23" s="22">
        <f t="shared" si="11"/>
        <v>443.875</v>
      </c>
    </row>
    <row r="24" spans="1:14">
      <c r="B24" t="s">
        <v>85</v>
      </c>
      <c r="C24" s="21">
        <f>C23/12</f>
        <v>99.609375</v>
      </c>
      <c r="D24" s="21">
        <f t="shared" ref="D24:E24" si="12">D23/12</f>
        <v>69.149305555555557</v>
      </c>
      <c r="E24" s="21">
        <f t="shared" si="12"/>
        <v>46.822916666666664</v>
      </c>
      <c r="G24" t="s">
        <v>95</v>
      </c>
      <c r="H24" s="18"/>
      <c r="I24" t="s">
        <v>85</v>
      </c>
      <c r="J24" s="21">
        <f>J23/12</f>
        <v>75.026041666666671</v>
      </c>
      <c r="K24" s="21">
        <f t="shared" ref="K24:L24" si="13">K23/12</f>
        <v>52.760416666666664</v>
      </c>
      <c r="L24" s="21">
        <f t="shared" si="13"/>
        <v>36.989583333333336</v>
      </c>
      <c r="N24" t="s">
        <v>96</v>
      </c>
    </row>
    <row r="25" spans="1:14">
      <c r="I25" s="23" t="s">
        <v>97</v>
      </c>
      <c r="J25" s="1">
        <f>J18</f>
        <v>98.333333333333329</v>
      </c>
      <c r="K25" s="1">
        <f t="shared" ref="K25:L25" si="14">K18</f>
        <v>65.555555555555557</v>
      </c>
      <c r="L25" s="1">
        <f t="shared" si="14"/>
        <v>39.333333333333336</v>
      </c>
    </row>
    <row r="26" spans="1:14">
      <c r="I26" t="s">
        <v>98</v>
      </c>
      <c r="J26" s="21">
        <f>SUM(J24:J25)</f>
        <v>173.359375</v>
      </c>
      <c r="K26" s="21">
        <f t="shared" ref="K26:L26" si="15">SUM(K24:K25)</f>
        <v>118.31597222222223</v>
      </c>
      <c r="L26" s="21">
        <f t="shared" si="15"/>
        <v>76.322916666666671</v>
      </c>
      <c r="N26" t="s">
        <v>99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Scroll Bar 1">
              <controlPr defaultSize="0" autoPict="0">
                <anchor moveWithCells="1">
                  <from>
                    <xdr:col>11</xdr:col>
                    <xdr:colOff>66675</xdr:colOff>
                    <xdr:row>8</xdr:row>
                    <xdr:rowOff>133350</xdr:rowOff>
                  </from>
                  <to>
                    <xdr:col>13</xdr:col>
                    <xdr:colOff>276225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D31DE-E63C-455E-A54B-53AE7C7DC4E7}">
  <sheetPr codeName="Sheet4"/>
  <dimension ref="A1:M21"/>
  <sheetViews>
    <sheetView zoomScale="110" zoomScaleNormal="110" workbookViewId="0">
      <selection activeCell="G2" sqref="G2"/>
    </sheetView>
  </sheetViews>
  <sheetFormatPr defaultRowHeight="15"/>
  <cols>
    <col min="2" max="2" width="30.28515625" bestFit="1" customWidth="1"/>
    <col min="3" max="3" width="10" bestFit="1" customWidth="1"/>
    <col min="4" max="5" width="9" bestFit="1" customWidth="1"/>
    <col min="7" max="7" width="30.140625" customWidth="1"/>
    <col min="10" max="10" width="14.7109375" bestFit="1" customWidth="1"/>
  </cols>
  <sheetData>
    <row r="1" spans="1:13">
      <c r="C1" t="s">
        <v>53</v>
      </c>
      <c r="D1" t="s">
        <v>54</v>
      </c>
      <c r="E1" t="s">
        <v>55</v>
      </c>
      <c r="G1" t="s">
        <v>56</v>
      </c>
      <c r="K1" t="s">
        <v>53</v>
      </c>
      <c r="L1" t="s">
        <v>54</v>
      </c>
      <c r="M1" t="s">
        <v>57</v>
      </c>
    </row>
    <row r="2" spans="1:13">
      <c r="A2" t="s">
        <v>58</v>
      </c>
      <c r="B2" t="s">
        <v>59</v>
      </c>
      <c r="C2" s="2">
        <v>350000</v>
      </c>
      <c r="D2" s="1"/>
      <c r="E2" s="1"/>
      <c r="I2" t="s">
        <v>61</v>
      </c>
      <c r="K2" s="1"/>
      <c r="L2" s="1"/>
      <c r="M2" s="1"/>
    </row>
    <row r="3" spans="1:13">
      <c r="B3" t="s">
        <v>63</v>
      </c>
      <c r="C3" s="2">
        <f>$K8*15</f>
        <v>3375</v>
      </c>
      <c r="D3" s="2">
        <f>$K8*15</f>
        <v>3375</v>
      </c>
      <c r="E3" s="2">
        <f>$K8*15</f>
        <v>3375</v>
      </c>
      <c r="G3" t="s">
        <v>64</v>
      </c>
      <c r="I3" t="s">
        <v>72</v>
      </c>
      <c r="J3" t="s">
        <v>65</v>
      </c>
      <c r="K3" s="20">
        <v>80</v>
      </c>
      <c r="L3" s="20">
        <v>120</v>
      </c>
      <c r="M3" s="20">
        <v>200</v>
      </c>
    </row>
    <row r="4" spans="1:13">
      <c r="K4" s="1"/>
      <c r="L4" s="1"/>
      <c r="M4" s="1"/>
    </row>
    <row r="5" spans="1:13">
      <c r="A5" t="s">
        <v>67</v>
      </c>
      <c r="B5" t="s">
        <v>68</v>
      </c>
      <c r="C5" s="2">
        <v>12500</v>
      </c>
      <c r="D5" s="2">
        <v>12500</v>
      </c>
      <c r="E5" s="2">
        <v>12500</v>
      </c>
      <c r="G5" t="s">
        <v>101</v>
      </c>
      <c r="K5" s="1"/>
      <c r="L5" s="1"/>
      <c r="M5" s="1"/>
    </row>
    <row r="6" spans="1:13">
      <c r="B6" t="s">
        <v>70</v>
      </c>
      <c r="C6" s="2">
        <v>10000</v>
      </c>
      <c r="D6" s="2">
        <v>10000</v>
      </c>
      <c r="E6" s="2">
        <v>10000</v>
      </c>
      <c r="G6" t="s">
        <v>71</v>
      </c>
      <c r="K6" s="1"/>
      <c r="L6" s="1"/>
      <c r="M6" s="1"/>
    </row>
    <row r="7" spans="1:13">
      <c r="B7" t="s">
        <v>74</v>
      </c>
      <c r="C7" s="2">
        <v>21950</v>
      </c>
      <c r="D7" s="2">
        <v>19500</v>
      </c>
      <c r="E7" s="2">
        <v>19500</v>
      </c>
      <c r="G7" t="s">
        <v>75</v>
      </c>
      <c r="J7" s="19"/>
    </row>
    <row r="8" spans="1:13">
      <c r="B8" t="s">
        <v>76</v>
      </c>
      <c r="C8" s="2">
        <v>0</v>
      </c>
      <c r="D8" s="2">
        <v>0</v>
      </c>
      <c r="E8" s="2">
        <v>0</v>
      </c>
      <c r="J8" t="s">
        <v>77</v>
      </c>
      <c r="K8">
        <f>4500/20</f>
        <v>225</v>
      </c>
    </row>
    <row r="9" spans="1:13">
      <c r="B9" t="s">
        <v>78</v>
      </c>
      <c r="C9" s="2">
        <v>0</v>
      </c>
      <c r="D9" s="2">
        <v>0</v>
      </c>
      <c r="E9" s="2">
        <v>0</v>
      </c>
    </row>
    <row r="10" spans="1:13">
      <c r="B10" t="s">
        <v>79</v>
      </c>
      <c r="C10" s="2"/>
      <c r="D10" s="2"/>
      <c r="E10" s="2"/>
      <c r="J10" s="19"/>
    </row>
    <row r="11" spans="1:13">
      <c r="J11" s="1"/>
      <c r="K11" s="1"/>
      <c r="L11" s="1"/>
    </row>
    <row r="12" spans="1:13">
      <c r="A12" t="s">
        <v>81</v>
      </c>
      <c r="B12" s="3" t="s">
        <v>82</v>
      </c>
      <c r="C12" s="1">
        <f>SUM(C3:C10)</f>
        <v>47825</v>
      </c>
      <c r="D12" s="1">
        <f>SUM(D3:D10)</f>
        <v>45375</v>
      </c>
      <c r="E12" s="1">
        <f>SUM(E3:E10)</f>
        <v>45375</v>
      </c>
      <c r="J12" s="1"/>
      <c r="K12" s="1"/>
      <c r="L12" s="1"/>
    </row>
    <row r="13" spans="1:13">
      <c r="B13" t="s">
        <v>83</v>
      </c>
      <c r="C13" s="1">
        <f>C12-(K2*K4)</f>
        <v>47825</v>
      </c>
      <c r="D13" s="1">
        <f>D12-(L2*L4)</f>
        <v>45375</v>
      </c>
      <c r="E13" s="1">
        <f>E12-(M2*M4)</f>
        <v>45375</v>
      </c>
      <c r="J13" s="1"/>
      <c r="K13" s="1"/>
      <c r="L13" s="1"/>
    </row>
    <row r="14" spans="1:13">
      <c r="B14" t="s">
        <v>84</v>
      </c>
      <c r="C14" s="22">
        <f>C13/K3</f>
        <v>597.8125</v>
      </c>
      <c r="D14" s="22">
        <f>D13/L3</f>
        <v>378.125</v>
      </c>
      <c r="E14" s="22">
        <f>E13/M3</f>
        <v>226.875</v>
      </c>
    </row>
    <row r="15" spans="1:13">
      <c r="B15" t="s">
        <v>85</v>
      </c>
      <c r="C15" s="21">
        <f>C14/12</f>
        <v>49.817708333333336</v>
      </c>
      <c r="D15" s="21">
        <f t="shared" ref="D15:E15" si="0">D14/12</f>
        <v>31.510416666666668</v>
      </c>
      <c r="E15" s="21">
        <f t="shared" si="0"/>
        <v>18.90625</v>
      </c>
    </row>
    <row r="16" spans="1:13">
      <c r="C16" s="18"/>
      <c r="D16" s="18"/>
      <c r="E16" s="18"/>
    </row>
    <row r="17" spans="1:9">
      <c r="A17" t="s">
        <v>86</v>
      </c>
      <c r="B17" s="3" t="s">
        <v>87</v>
      </c>
      <c r="C17" s="1">
        <f>C12+$C2/5</f>
        <v>117825</v>
      </c>
      <c r="D17" s="1">
        <f>D12+$C2/5</f>
        <v>115375</v>
      </c>
      <c r="E17" s="1">
        <f>E12+$C2/5</f>
        <v>115375</v>
      </c>
    </row>
    <row r="18" spans="1:9">
      <c r="B18" t="s">
        <v>83</v>
      </c>
      <c r="C18" s="1">
        <f>C17-(K2*K4)</f>
        <v>117825</v>
      </c>
      <c r="D18" s="1">
        <f>D17-(L2*L4)</f>
        <v>115375</v>
      </c>
      <c r="E18" s="1">
        <f>E17-(M2*M4)</f>
        <v>115375</v>
      </c>
      <c r="F18" s="1"/>
    </row>
    <row r="19" spans="1:9">
      <c r="B19" t="s">
        <v>84</v>
      </c>
      <c r="C19" s="22">
        <f>C18/K3</f>
        <v>1472.8125</v>
      </c>
      <c r="D19" s="22">
        <f>D18/L3</f>
        <v>961.45833333333337</v>
      </c>
      <c r="E19" s="22">
        <f>E18/M3</f>
        <v>576.875</v>
      </c>
    </row>
    <row r="20" spans="1:9">
      <c r="B20" t="s">
        <v>85</v>
      </c>
      <c r="C20" s="21">
        <f>C19/12</f>
        <v>122.734375</v>
      </c>
      <c r="D20" s="21">
        <f t="shared" ref="D20:E20" si="1">D19/12</f>
        <v>80.121527777777786</v>
      </c>
      <c r="E20" s="21">
        <f t="shared" si="1"/>
        <v>48.072916666666664</v>
      </c>
      <c r="H20" s="18"/>
      <c r="I20" s="18"/>
    </row>
    <row r="21" spans="1:9">
      <c r="I21" s="18"/>
    </row>
  </sheetData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10CDA-1D85-4084-A387-60747AF5FF81}">
  <sheetPr codeName="Sheet5"/>
  <dimension ref="A1:N26"/>
  <sheetViews>
    <sheetView zoomScale="110" zoomScaleNormal="110" workbookViewId="0">
      <selection activeCell="K11" sqref="K11"/>
    </sheetView>
  </sheetViews>
  <sheetFormatPr defaultRowHeight="15"/>
  <cols>
    <col min="2" max="2" width="30.28515625" bestFit="1" customWidth="1"/>
    <col min="3" max="3" width="10" bestFit="1" customWidth="1"/>
    <col min="4" max="5" width="9" bestFit="1" customWidth="1"/>
    <col min="7" max="7" width="30.140625" customWidth="1"/>
    <col min="10" max="10" width="18.42578125" customWidth="1"/>
  </cols>
  <sheetData>
    <row r="1" spans="1:13">
      <c r="C1" t="s">
        <v>53</v>
      </c>
      <c r="D1" t="s">
        <v>54</v>
      </c>
      <c r="E1" t="s">
        <v>55</v>
      </c>
      <c r="G1" t="s">
        <v>56</v>
      </c>
      <c r="K1" t="s">
        <v>53</v>
      </c>
      <c r="L1" t="s">
        <v>54</v>
      </c>
      <c r="M1" t="s">
        <v>57</v>
      </c>
    </row>
    <row r="2" spans="1:13">
      <c r="A2" t="s">
        <v>58</v>
      </c>
      <c r="B2" t="s">
        <v>59</v>
      </c>
      <c r="C2" s="2">
        <v>350000</v>
      </c>
      <c r="D2" s="1"/>
      <c r="E2" s="1"/>
      <c r="I2" t="s">
        <v>61</v>
      </c>
      <c r="K2" s="1"/>
      <c r="L2" s="1"/>
      <c r="M2" s="1"/>
    </row>
    <row r="3" spans="1:13">
      <c r="B3" t="s">
        <v>63</v>
      </c>
      <c r="C3" s="2">
        <f>$K8*15</f>
        <v>3375</v>
      </c>
      <c r="D3" s="2">
        <f>$K8*15</f>
        <v>3375</v>
      </c>
      <c r="E3" s="2">
        <f>$K8*15</f>
        <v>3375</v>
      </c>
      <c r="G3" t="s">
        <v>64</v>
      </c>
      <c r="I3" t="s">
        <v>72</v>
      </c>
      <c r="J3" t="s">
        <v>65</v>
      </c>
      <c r="K3" s="20">
        <v>80</v>
      </c>
      <c r="L3" s="20">
        <v>120</v>
      </c>
      <c r="M3" s="20">
        <v>200</v>
      </c>
    </row>
    <row r="4" spans="1:13">
      <c r="C4" s="1"/>
      <c r="D4" s="1"/>
      <c r="E4" s="1"/>
      <c r="K4" s="1"/>
      <c r="L4" s="1"/>
      <c r="M4" s="1"/>
    </row>
    <row r="5" spans="1:13">
      <c r="A5" t="s">
        <v>67</v>
      </c>
      <c r="B5" t="s">
        <v>68</v>
      </c>
      <c r="C5" s="2">
        <v>12500</v>
      </c>
      <c r="D5" s="2">
        <v>12500</v>
      </c>
      <c r="E5" s="2">
        <v>12500</v>
      </c>
      <c r="K5" s="1"/>
      <c r="L5" s="1"/>
      <c r="M5" s="1"/>
    </row>
    <row r="6" spans="1:13">
      <c r="B6" t="s">
        <v>70</v>
      </c>
      <c r="C6" s="2">
        <v>10000</v>
      </c>
      <c r="D6" s="2">
        <v>10000</v>
      </c>
      <c r="E6" s="2">
        <v>10000</v>
      </c>
      <c r="G6" t="s">
        <v>71</v>
      </c>
      <c r="K6" s="1"/>
      <c r="L6" s="1"/>
      <c r="M6" s="1"/>
    </row>
    <row r="7" spans="1:13">
      <c r="B7" t="s">
        <v>74</v>
      </c>
      <c r="C7" s="2">
        <v>21950</v>
      </c>
      <c r="D7" s="2">
        <v>19500</v>
      </c>
      <c r="E7" s="2">
        <v>19500</v>
      </c>
      <c r="G7" t="s">
        <v>75</v>
      </c>
      <c r="J7" s="19"/>
    </row>
    <row r="8" spans="1:13">
      <c r="B8" t="s">
        <v>76</v>
      </c>
      <c r="C8" s="2">
        <v>23600</v>
      </c>
      <c r="D8" s="2">
        <v>23600</v>
      </c>
      <c r="E8" s="2">
        <v>23600</v>
      </c>
      <c r="G8" t="s">
        <v>88</v>
      </c>
      <c r="J8" t="s">
        <v>77</v>
      </c>
      <c r="K8">
        <f>4500/20</f>
        <v>225</v>
      </c>
    </row>
    <row r="9" spans="1:13">
      <c r="B9" t="s">
        <v>78</v>
      </c>
      <c r="C9" s="2">
        <v>0</v>
      </c>
      <c r="D9" s="2">
        <v>0</v>
      </c>
      <c r="E9" s="2">
        <v>0</v>
      </c>
    </row>
    <row r="10" spans="1:13">
      <c r="B10" t="s">
        <v>79</v>
      </c>
      <c r="C10" s="2"/>
      <c r="D10" s="2"/>
      <c r="E10" s="2"/>
      <c r="I10" t="s">
        <v>89</v>
      </c>
      <c r="J10" s="19" t="s">
        <v>90</v>
      </c>
      <c r="K10" s="18">
        <v>25</v>
      </c>
    </row>
    <row r="11" spans="1:13">
      <c r="C11" s="1"/>
      <c r="D11" s="1"/>
      <c r="E11" s="1"/>
      <c r="J11" t="s">
        <v>91</v>
      </c>
      <c r="K11" s="1">
        <f>K3*($K10/100)</f>
        <v>20</v>
      </c>
      <c r="L11" s="1">
        <f t="shared" ref="L11:M11" si="0">L3*($K10/100)</f>
        <v>30</v>
      </c>
      <c r="M11" s="1">
        <f t="shared" si="0"/>
        <v>50</v>
      </c>
    </row>
    <row r="12" spans="1:13">
      <c r="C12" s="1"/>
      <c r="D12" s="1"/>
      <c r="E12" s="1"/>
      <c r="J12" t="s">
        <v>92</v>
      </c>
      <c r="K12" s="1">
        <f>K3-K11</f>
        <v>60</v>
      </c>
      <c r="L12" s="1">
        <f t="shared" ref="L12:M12" si="1">L3-L11</f>
        <v>90</v>
      </c>
      <c r="M12" s="1">
        <f t="shared" si="1"/>
        <v>150</v>
      </c>
    </row>
    <row r="13" spans="1:13">
      <c r="J13" s="1"/>
      <c r="K13" s="1"/>
      <c r="L13" s="1"/>
    </row>
    <row r="14" spans="1:13">
      <c r="A14" t="s">
        <v>81</v>
      </c>
      <c r="B14" s="3" t="s">
        <v>82</v>
      </c>
      <c r="C14" s="1">
        <f>SUM(C3:C11)</f>
        <v>71425</v>
      </c>
      <c r="D14" s="1">
        <f>SUM(D3:D11)</f>
        <v>68975</v>
      </c>
      <c r="E14" s="1">
        <f>SUM(E3:E11)</f>
        <v>68975</v>
      </c>
      <c r="I14" s="3" t="s">
        <v>93</v>
      </c>
      <c r="J14" s="1">
        <f>(SUM(C3:C7)+C11)</f>
        <v>47825</v>
      </c>
      <c r="K14" s="1">
        <f t="shared" ref="K14:L14" si="2">(SUM(D3:D7)+D11)</f>
        <v>45375</v>
      </c>
      <c r="L14" s="1">
        <f t="shared" si="2"/>
        <v>45375</v>
      </c>
    </row>
    <row r="15" spans="1:13">
      <c r="B15" t="s">
        <v>83</v>
      </c>
      <c r="C15" s="1">
        <f>C14-(K2*K4)</f>
        <v>71425</v>
      </c>
      <c r="D15" s="1">
        <f>D14-(L2*L4)</f>
        <v>68975</v>
      </c>
      <c r="E15" s="1">
        <f>E14-(M2*M4)</f>
        <v>68975</v>
      </c>
      <c r="I15" t="s">
        <v>94</v>
      </c>
      <c r="J15" s="1">
        <f>J14-(K2*K4)</f>
        <v>47825</v>
      </c>
      <c r="K15" s="1">
        <f t="shared" ref="K15:L15" si="3">K14-(L2*L4)</f>
        <v>45375</v>
      </c>
      <c r="L15" s="1">
        <f t="shared" si="3"/>
        <v>45375</v>
      </c>
    </row>
    <row r="16" spans="1:13">
      <c r="B16" t="s">
        <v>84</v>
      </c>
      <c r="C16" s="22">
        <f>C15/K3</f>
        <v>892.8125</v>
      </c>
      <c r="D16" s="22">
        <f>D15/L3</f>
        <v>574.79166666666663</v>
      </c>
      <c r="E16" s="22">
        <f>E15/M3</f>
        <v>344.875</v>
      </c>
      <c r="I16" t="s">
        <v>84</v>
      </c>
      <c r="J16" s="22">
        <f>J15/K3</f>
        <v>597.8125</v>
      </c>
      <c r="K16" s="22">
        <f t="shared" ref="K16:L16" si="4">K15/L3</f>
        <v>378.125</v>
      </c>
      <c r="L16" s="22">
        <f t="shared" si="4"/>
        <v>226.875</v>
      </c>
    </row>
    <row r="17" spans="1:14">
      <c r="B17" t="s">
        <v>85</v>
      </c>
      <c r="C17" s="21">
        <f>C16/12</f>
        <v>74.401041666666671</v>
      </c>
      <c r="D17" s="21">
        <f t="shared" ref="D17:E17" si="5">D16/12</f>
        <v>47.89930555555555</v>
      </c>
      <c r="E17" s="21">
        <f t="shared" si="5"/>
        <v>28.739583333333332</v>
      </c>
      <c r="G17" t="s">
        <v>95</v>
      </c>
      <c r="I17" t="s">
        <v>85</v>
      </c>
      <c r="J17" s="21">
        <f>J16/12</f>
        <v>49.817708333333336</v>
      </c>
      <c r="K17" s="21">
        <f>K16/12</f>
        <v>31.510416666666668</v>
      </c>
      <c r="L17" s="21">
        <f>L16/12</f>
        <v>18.90625</v>
      </c>
      <c r="N17" t="s">
        <v>96</v>
      </c>
    </row>
    <row r="18" spans="1:14">
      <c r="C18" s="21"/>
      <c r="D18" s="21"/>
      <c r="E18" s="21"/>
      <c r="I18" t="s">
        <v>97</v>
      </c>
      <c r="J18" s="22">
        <f>(C8/K11)/12</f>
        <v>98.333333333333329</v>
      </c>
      <c r="K18" s="22">
        <f t="shared" ref="K18:L18" si="6">(D8/L11)/12</f>
        <v>65.555555555555557</v>
      </c>
      <c r="L18" s="22">
        <f t="shared" si="6"/>
        <v>39.333333333333336</v>
      </c>
    </row>
    <row r="19" spans="1:14">
      <c r="C19" s="21"/>
      <c r="D19" s="21"/>
      <c r="E19" s="21"/>
      <c r="I19" t="s">
        <v>98</v>
      </c>
      <c r="J19" s="21">
        <f>SUM(J17:J18)</f>
        <v>148.15104166666666</v>
      </c>
      <c r="K19" s="21">
        <f t="shared" ref="K19:L19" si="7">SUM(K17:K18)</f>
        <v>97.065972222222229</v>
      </c>
      <c r="L19" s="21">
        <f t="shared" si="7"/>
        <v>58.239583333333336</v>
      </c>
      <c r="N19" t="s">
        <v>99</v>
      </c>
    </row>
    <row r="20" spans="1:14">
      <c r="C20" s="18"/>
      <c r="D20" s="18"/>
      <c r="E20" s="18"/>
      <c r="J20" s="18"/>
      <c r="K20" s="18"/>
      <c r="L20" s="18"/>
    </row>
    <row r="21" spans="1:14">
      <c r="A21" t="s">
        <v>86</v>
      </c>
      <c r="B21" s="3" t="s">
        <v>87</v>
      </c>
      <c r="C21" s="1">
        <f>C14+$C2/5</f>
        <v>141425</v>
      </c>
      <c r="D21" s="1">
        <f>D14+$C2/5</f>
        <v>138975</v>
      </c>
      <c r="E21" s="1">
        <f>E14+$C2/5</f>
        <v>138975</v>
      </c>
      <c r="I21" s="3" t="s">
        <v>100</v>
      </c>
      <c r="J21" s="1">
        <f>J14+$C2/5</f>
        <v>117825</v>
      </c>
      <c r="K21" s="1">
        <f t="shared" ref="K21:L21" si="8">K14+$C2/5</f>
        <v>115375</v>
      </c>
      <c r="L21" s="1">
        <f t="shared" si="8"/>
        <v>115375</v>
      </c>
    </row>
    <row r="22" spans="1:14">
      <c r="B22" t="s">
        <v>83</v>
      </c>
      <c r="C22" s="1">
        <f>C21-K2*K4</f>
        <v>141425</v>
      </c>
      <c r="D22" s="1">
        <f>D21-L2*L4</f>
        <v>138975</v>
      </c>
      <c r="E22" s="1">
        <f>E21-M2*M4</f>
        <v>138975</v>
      </c>
      <c r="I22" t="s">
        <v>94</v>
      </c>
      <c r="J22" s="1">
        <f>J21-K2*K4</f>
        <v>117825</v>
      </c>
      <c r="K22" s="1">
        <f t="shared" ref="K22:L22" si="9">K21-L2*L4</f>
        <v>115375</v>
      </c>
      <c r="L22" s="1">
        <f t="shared" si="9"/>
        <v>115375</v>
      </c>
    </row>
    <row r="23" spans="1:14">
      <c r="B23" t="s">
        <v>84</v>
      </c>
      <c r="C23" s="22">
        <f>C22/K3</f>
        <v>1767.8125</v>
      </c>
      <c r="D23" s="22">
        <f t="shared" ref="D23:E23" si="10">D22/L3</f>
        <v>1158.125</v>
      </c>
      <c r="E23" s="22">
        <f t="shared" si="10"/>
        <v>694.875</v>
      </c>
      <c r="I23" t="s">
        <v>84</v>
      </c>
      <c r="J23" s="22">
        <f>J22/K3</f>
        <v>1472.8125</v>
      </c>
      <c r="K23" s="22">
        <f t="shared" ref="K23:L23" si="11">K22/L3</f>
        <v>961.45833333333337</v>
      </c>
      <c r="L23" s="22">
        <f t="shared" si="11"/>
        <v>576.875</v>
      </c>
    </row>
    <row r="24" spans="1:14">
      <c r="B24" t="s">
        <v>85</v>
      </c>
      <c r="C24" s="21">
        <f>C23/12</f>
        <v>147.31770833333334</v>
      </c>
      <c r="D24" s="21">
        <f t="shared" ref="D24:E24" si="12">D23/12</f>
        <v>96.510416666666671</v>
      </c>
      <c r="E24" s="21">
        <f t="shared" si="12"/>
        <v>57.90625</v>
      </c>
      <c r="G24" t="s">
        <v>95</v>
      </c>
      <c r="H24" s="18"/>
      <c r="I24" t="s">
        <v>85</v>
      </c>
      <c r="J24" s="21">
        <f>J23/12</f>
        <v>122.734375</v>
      </c>
      <c r="K24" s="21">
        <f t="shared" ref="K24:L24" si="13">K23/12</f>
        <v>80.121527777777786</v>
      </c>
      <c r="L24" s="21">
        <f t="shared" si="13"/>
        <v>48.072916666666664</v>
      </c>
      <c r="N24" t="s">
        <v>96</v>
      </c>
    </row>
    <row r="25" spans="1:14">
      <c r="I25" s="23" t="s">
        <v>97</v>
      </c>
      <c r="J25" s="1">
        <f>J18</f>
        <v>98.333333333333329</v>
      </c>
      <c r="K25" s="1">
        <f t="shared" ref="K25:L25" si="14">K18</f>
        <v>65.555555555555557</v>
      </c>
      <c r="L25" s="1">
        <f t="shared" si="14"/>
        <v>39.333333333333336</v>
      </c>
    </row>
    <row r="26" spans="1:14">
      <c r="I26" t="s">
        <v>98</v>
      </c>
      <c r="J26" s="21">
        <f>SUM(J24:J25)</f>
        <v>221.06770833333331</v>
      </c>
      <c r="K26" s="21">
        <f t="shared" ref="K26:L26" si="15">SUM(K24:K25)</f>
        <v>145.67708333333334</v>
      </c>
      <c r="L26" s="21">
        <f t="shared" si="15"/>
        <v>87.40625</v>
      </c>
      <c r="N26" t="s">
        <v>99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Scroll Bar 1">
              <controlPr defaultSize="0" autoPict="0">
                <anchor moveWithCells="1">
                  <from>
                    <xdr:col>11</xdr:col>
                    <xdr:colOff>66675</xdr:colOff>
                    <xdr:row>8</xdr:row>
                    <xdr:rowOff>133350</xdr:rowOff>
                  </from>
                  <to>
                    <xdr:col>13</xdr:col>
                    <xdr:colOff>276225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FA70E-C73A-448F-9AEB-E1885225C1EA}">
  <sheetPr codeName="Sheet8"/>
  <dimension ref="A1:N26"/>
  <sheetViews>
    <sheetView zoomScale="110" zoomScaleNormal="110" workbookViewId="0">
      <selection activeCell="K11" sqref="K11"/>
    </sheetView>
  </sheetViews>
  <sheetFormatPr defaultRowHeight="15"/>
  <cols>
    <col min="2" max="2" width="30.28515625" bestFit="1" customWidth="1"/>
    <col min="3" max="3" width="10" bestFit="1" customWidth="1"/>
    <col min="4" max="5" width="9" bestFit="1" customWidth="1"/>
    <col min="7" max="7" width="30.140625" customWidth="1"/>
    <col min="10" max="10" width="18.42578125" customWidth="1"/>
  </cols>
  <sheetData>
    <row r="1" spans="1:13">
      <c r="C1" t="s">
        <v>53</v>
      </c>
      <c r="D1" t="s">
        <v>54</v>
      </c>
      <c r="E1" t="s">
        <v>55</v>
      </c>
      <c r="G1" t="s">
        <v>56</v>
      </c>
      <c r="K1" t="s">
        <v>53</v>
      </c>
      <c r="L1" t="s">
        <v>54</v>
      </c>
      <c r="M1" t="s">
        <v>57</v>
      </c>
    </row>
    <row r="2" spans="1:13">
      <c r="A2" t="s">
        <v>58</v>
      </c>
      <c r="B2" t="s">
        <v>59</v>
      </c>
      <c r="C2" s="2">
        <v>350000</v>
      </c>
      <c r="D2" s="1"/>
      <c r="E2" s="1"/>
      <c r="I2" t="s">
        <v>61</v>
      </c>
      <c r="K2" s="1"/>
      <c r="L2" s="1"/>
      <c r="M2" s="1"/>
    </row>
    <row r="3" spans="1:13">
      <c r="B3" t="s">
        <v>63</v>
      </c>
      <c r="C3" s="2">
        <f>$K8*15</f>
        <v>3375</v>
      </c>
      <c r="D3" s="2">
        <f>$K8*15</f>
        <v>3375</v>
      </c>
      <c r="E3" s="2">
        <f>$K8*15</f>
        <v>3375</v>
      </c>
      <c r="G3" t="s">
        <v>64</v>
      </c>
      <c r="I3" t="s">
        <v>72</v>
      </c>
      <c r="J3" t="s">
        <v>65</v>
      </c>
      <c r="K3" s="20">
        <v>80</v>
      </c>
      <c r="L3" s="20">
        <v>120</v>
      </c>
      <c r="M3" s="20">
        <v>200</v>
      </c>
    </row>
    <row r="4" spans="1:13">
      <c r="C4" s="1"/>
      <c r="D4" s="1"/>
      <c r="E4" s="1"/>
      <c r="K4" s="1"/>
      <c r="L4" s="1"/>
      <c r="M4" s="1"/>
    </row>
    <row r="5" spans="1:13">
      <c r="A5" t="s">
        <v>67</v>
      </c>
      <c r="B5" t="s">
        <v>68</v>
      </c>
      <c r="C5" s="2">
        <v>12500</v>
      </c>
      <c r="D5" s="2">
        <v>12500</v>
      </c>
      <c r="E5" s="2">
        <v>12500</v>
      </c>
      <c r="K5" s="1"/>
      <c r="L5" s="1"/>
      <c r="M5" s="1"/>
    </row>
    <row r="6" spans="1:13">
      <c r="B6" t="s">
        <v>70</v>
      </c>
      <c r="C6" s="2">
        <v>10000</v>
      </c>
      <c r="D6" s="2">
        <v>10000</v>
      </c>
      <c r="E6" s="2">
        <v>10000</v>
      </c>
      <c r="G6" t="s">
        <v>71</v>
      </c>
      <c r="K6" s="1"/>
      <c r="L6" s="1"/>
      <c r="M6" s="1"/>
    </row>
    <row r="7" spans="1:13">
      <c r="B7" t="s">
        <v>74</v>
      </c>
      <c r="C7" s="2">
        <v>21950</v>
      </c>
      <c r="D7" s="2">
        <v>19500</v>
      </c>
      <c r="E7" s="2">
        <v>19500</v>
      </c>
      <c r="G7" t="s">
        <v>75</v>
      </c>
      <c r="J7" s="19"/>
    </row>
    <row r="8" spans="1:13">
      <c r="B8" t="s">
        <v>76</v>
      </c>
      <c r="C8" s="2">
        <v>23600</v>
      </c>
      <c r="D8" s="2">
        <v>23600</v>
      </c>
      <c r="E8" s="2">
        <v>23600</v>
      </c>
      <c r="G8" t="s">
        <v>88</v>
      </c>
      <c r="J8" t="s">
        <v>77</v>
      </c>
      <c r="K8">
        <f>4500/20</f>
        <v>225</v>
      </c>
    </row>
    <row r="9" spans="1:13">
      <c r="B9" t="s">
        <v>78</v>
      </c>
      <c r="C9" s="2">
        <v>20000</v>
      </c>
      <c r="D9" s="2">
        <v>20000</v>
      </c>
      <c r="E9" s="2">
        <v>20000</v>
      </c>
    </row>
    <row r="10" spans="1:13">
      <c r="B10" t="s">
        <v>79</v>
      </c>
      <c r="C10" s="2"/>
      <c r="D10" s="2"/>
      <c r="E10" s="2"/>
      <c r="I10" t="s">
        <v>89</v>
      </c>
      <c r="J10" s="19" t="s">
        <v>90</v>
      </c>
      <c r="K10" s="18">
        <v>25</v>
      </c>
    </row>
    <row r="11" spans="1:13">
      <c r="C11" s="1"/>
      <c r="D11" s="1"/>
      <c r="E11" s="1"/>
      <c r="J11" t="s">
        <v>91</v>
      </c>
      <c r="K11" s="1">
        <f>K3*($K10/100)</f>
        <v>20</v>
      </c>
      <c r="L11" s="1">
        <f t="shared" ref="L11:M11" si="0">L3*($K10/100)</f>
        <v>30</v>
      </c>
      <c r="M11" s="1">
        <f t="shared" si="0"/>
        <v>50</v>
      </c>
    </row>
    <row r="12" spans="1:13">
      <c r="C12" s="1"/>
      <c r="D12" s="1"/>
      <c r="E12" s="1"/>
      <c r="J12" t="s">
        <v>92</v>
      </c>
      <c r="K12" s="1">
        <f>K3-K11</f>
        <v>60</v>
      </c>
      <c r="L12" s="1">
        <f t="shared" ref="L12:M12" si="1">L3-L11</f>
        <v>90</v>
      </c>
      <c r="M12" s="1">
        <f t="shared" si="1"/>
        <v>150</v>
      </c>
    </row>
    <row r="13" spans="1:13">
      <c r="J13" s="1"/>
      <c r="K13" s="1"/>
      <c r="L13" s="1"/>
    </row>
    <row r="14" spans="1:13">
      <c r="A14" t="s">
        <v>81</v>
      </c>
      <c r="B14" s="3" t="s">
        <v>82</v>
      </c>
      <c r="C14" s="1">
        <f>SUM(C3:C11)</f>
        <v>91425</v>
      </c>
      <c r="D14" s="1">
        <f>SUM(D3:D11)</f>
        <v>88975</v>
      </c>
      <c r="E14" s="1">
        <f>SUM(E3:E11)</f>
        <v>88975</v>
      </c>
      <c r="I14" s="3" t="s">
        <v>93</v>
      </c>
      <c r="J14" s="1">
        <f>(SUM(C3:C7)+SUM(C9:C11))</f>
        <v>67825</v>
      </c>
      <c r="K14" s="1">
        <f t="shared" ref="K14:L14" si="2">(SUM(D3:D7)+SUM(D9:D11))</f>
        <v>65375</v>
      </c>
      <c r="L14" s="1">
        <f t="shared" si="2"/>
        <v>65375</v>
      </c>
    </row>
    <row r="15" spans="1:13">
      <c r="B15" t="s">
        <v>83</v>
      </c>
      <c r="C15" s="1">
        <f>C14-(K2*K4)</f>
        <v>91425</v>
      </c>
      <c r="D15" s="1">
        <f>D14-(L2*L4)</f>
        <v>88975</v>
      </c>
      <c r="E15" s="1">
        <f>E14-(M2*M4)</f>
        <v>88975</v>
      </c>
      <c r="I15" t="s">
        <v>94</v>
      </c>
      <c r="J15" s="1">
        <f>J14-(K2*K4)</f>
        <v>67825</v>
      </c>
      <c r="K15" s="1">
        <f t="shared" ref="K15:L15" si="3">K14-(L2*L4)</f>
        <v>65375</v>
      </c>
      <c r="L15" s="1">
        <f t="shared" si="3"/>
        <v>65375</v>
      </c>
    </row>
    <row r="16" spans="1:13">
      <c r="B16" t="s">
        <v>84</v>
      </c>
      <c r="C16" s="22">
        <f>C15/K3</f>
        <v>1142.8125</v>
      </c>
      <c r="D16" s="22">
        <f>D15/L3</f>
        <v>741.45833333333337</v>
      </c>
      <c r="E16" s="22">
        <f>E15/M3</f>
        <v>444.875</v>
      </c>
      <c r="I16" t="s">
        <v>84</v>
      </c>
      <c r="J16" s="22">
        <f>J15/K3</f>
        <v>847.8125</v>
      </c>
      <c r="K16" s="22">
        <f t="shared" ref="K16:L16" si="4">K15/L3</f>
        <v>544.79166666666663</v>
      </c>
      <c r="L16" s="22">
        <f t="shared" si="4"/>
        <v>326.875</v>
      </c>
    </row>
    <row r="17" spans="1:14">
      <c r="B17" t="s">
        <v>85</v>
      </c>
      <c r="C17" s="21">
        <f>C16/12</f>
        <v>95.234375</v>
      </c>
      <c r="D17" s="21">
        <f t="shared" ref="D17:E17" si="5">D16/12</f>
        <v>61.78819444444445</v>
      </c>
      <c r="E17" s="21">
        <f t="shared" si="5"/>
        <v>37.072916666666664</v>
      </c>
      <c r="G17" t="s">
        <v>95</v>
      </c>
      <c r="I17" t="s">
        <v>85</v>
      </c>
      <c r="J17" s="21">
        <f>J16/12</f>
        <v>70.651041666666671</v>
      </c>
      <c r="K17" s="21">
        <f>K16/12</f>
        <v>45.39930555555555</v>
      </c>
      <c r="L17" s="21">
        <f>L16/12</f>
        <v>27.239583333333332</v>
      </c>
      <c r="N17" t="s">
        <v>96</v>
      </c>
    </row>
    <row r="18" spans="1:14">
      <c r="C18" s="21"/>
      <c r="D18" s="21"/>
      <c r="E18" s="21"/>
      <c r="I18" t="s">
        <v>97</v>
      </c>
      <c r="J18" s="22">
        <f>(C8/K11)/12</f>
        <v>98.333333333333329</v>
      </c>
      <c r="K18" s="22">
        <f t="shared" ref="K18:L18" si="6">(D8/L11)/12</f>
        <v>65.555555555555557</v>
      </c>
      <c r="L18" s="22">
        <f t="shared" si="6"/>
        <v>39.333333333333336</v>
      </c>
    </row>
    <row r="19" spans="1:14">
      <c r="C19" s="21"/>
      <c r="D19" s="21"/>
      <c r="E19" s="21"/>
      <c r="I19" t="s">
        <v>98</v>
      </c>
      <c r="J19" s="21">
        <f>SUM(J17:J18)</f>
        <v>168.984375</v>
      </c>
      <c r="K19" s="21">
        <f t="shared" ref="K19:L19" si="7">SUM(K17:K18)</f>
        <v>110.95486111111111</v>
      </c>
      <c r="L19" s="21">
        <f t="shared" si="7"/>
        <v>66.572916666666671</v>
      </c>
      <c r="N19" t="s">
        <v>99</v>
      </c>
    </row>
    <row r="20" spans="1:14">
      <c r="C20" s="18"/>
      <c r="D20" s="18"/>
      <c r="E20" s="18"/>
      <c r="J20" s="18"/>
      <c r="K20" s="18"/>
      <c r="L20" s="18"/>
    </row>
    <row r="21" spans="1:14">
      <c r="A21" t="s">
        <v>86</v>
      </c>
      <c r="B21" s="3" t="s">
        <v>87</v>
      </c>
      <c r="C21" s="1">
        <f>C14+$C2/5</f>
        <v>161425</v>
      </c>
      <c r="D21" s="1">
        <f>D14+$C2/5</f>
        <v>158975</v>
      </c>
      <c r="E21" s="1">
        <f>E14+$C2/5</f>
        <v>158975</v>
      </c>
      <c r="I21" s="3" t="s">
        <v>100</v>
      </c>
      <c r="J21" s="1">
        <f>J14+$C2/5</f>
        <v>137825</v>
      </c>
      <c r="K21" s="1">
        <f t="shared" ref="K21:L21" si="8">K14+$C2/5</f>
        <v>135375</v>
      </c>
      <c r="L21" s="1">
        <f t="shared" si="8"/>
        <v>135375</v>
      </c>
    </row>
    <row r="22" spans="1:14">
      <c r="B22" t="s">
        <v>83</v>
      </c>
      <c r="C22" s="1">
        <f>C21-K2*K4</f>
        <v>161425</v>
      </c>
      <c r="D22" s="1">
        <f>D21-L2*L4</f>
        <v>158975</v>
      </c>
      <c r="E22" s="1">
        <f>E21-M2*M4</f>
        <v>158975</v>
      </c>
      <c r="I22" t="s">
        <v>94</v>
      </c>
      <c r="J22" s="1">
        <f>J21-K2*K4</f>
        <v>137825</v>
      </c>
      <c r="K22" s="1">
        <f t="shared" ref="K22:L22" si="9">K21-L2*L4</f>
        <v>135375</v>
      </c>
      <c r="L22" s="1">
        <f t="shared" si="9"/>
        <v>135375</v>
      </c>
    </row>
    <row r="23" spans="1:14">
      <c r="B23" t="s">
        <v>84</v>
      </c>
      <c r="C23" s="22">
        <f>C22/K3</f>
        <v>2017.8125</v>
      </c>
      <c r="D23" s="22">
        <f t="shared" ref="D23:E23" si="10">D22/L3</f>
        <v>1324.7916666666667</v>
      </c>
      <c r="E23" s="22">
        <f t="shared" si="10"/>
        <v>794.875</v>
      </c>
      <c r="I23" t="s">
        <v>84</v>
      </c>
      <c r="J23" s="22">
        <f>J22/K3</f>
        <v>1722.8125</v>
      </c>
      <c r="K23" s="22">
        <f t="shared" ref="K23:L23" si="11">K22/L3</f>
        <v>1128.125</v>
      </c>
      <c r="L23" s="22">
        <f t="shared" si="11"/>
        <v>676.875</v>
      </c>
    </row>
    <row r="24" spans="1:14">
      <c r="B24" t="s">
        <v>85</v>
      </c>
      <c r="C24" s="21">
        <f>C23/12</f>
        <v>168.15104166666666</v>
      </c>
      <c r="D24" s="21">
        <f t="shared" ref="D24:E24" si="12">D23/12</f>
        <v>110.39930555555556</v>
      </c>
      <c r="E24" s="21">
        <f t="shared" si="12"/>
        <v>66.239583333333329</v>
      </c>
      <c r="G24" t="s">
        <v>95</v>
      </c>
      <c r="H24" s="18"/>
      <c r="I24" t="s">
        <v>85</v>
      </c>
      <c r="J24" s="21">
        <f>J23/12</f>
        <v>143.56770833333334</v>
      </c>
      <c r="K24" s="21">
        <f t="shared" ref="K24:L24" si="13">K23/12</f>
        <v>94.010416666666671</v>
      </c>
      <c r="L24" s="21">
        <f t="shared" si="13"/>
        <v>56.40625</v>
      </c>
      <c r="N24" t="s">
        <v>96</v>
      </c>
    </row>
    <row r="25" spans="1:14">
      <c r="I25" s="23" t="s">
        <v>97</v>
      </c>
      <c r="J25" s="1">
        <f>J18</f>
        <v>98.333333333333329</v>
      </c>
      <c r="K25" s="1">
        <f t="shared" ref="K25:L25" si="14">K18</f>
        <v>65.555555555555557</v>
      </c>
      <c r="L25" s="1">
        <f t="shared" si="14"/>
        <v>39.333333333333336</v>
      </c>
    </row>
    <row r="26" spans="1:14">
      <c r="I26" t="s">
        <v>98</v>
      </c>
      <c r="J26" s="21">
        <f>SUM(J24:J25)</f>
        <v>241.90104166666669</v>
      </c>
      <c r="K26" s="21">
        <f t="shared" ref="K26:L26" si="15">SUM(K24:K25)</f>
        <v>159.56597222222223</v>
      </c>
      <c r="L26" s="21">
        <f t="shared" si="15"/>
        <v>95.739583333333343</v>
      </c>
      <c r="N26" t="s">
        <v>99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Scroll Bar 1">
              <controlPr defaultSize="0" autoPict="0">
                <anchor moveWithCells="1">
                  <from>
                    <xdr:col>11</xdr:col>
                    <xdr:colOff>66675</xdr:colOff>
                    <xdr:row>8</xdr:row>
                    <xdr:rowOff>133350</xdr:rowOff>
                  </from>
                  <to>
                    <xdr:col>13</xdr:col>
                    <xdr:colOff>276225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CC64D-F9B6-45B8-953A-56EAA745503F}">
  <sheetPr codeName="Sheet9"/>
  <dimension ref="A1:M21"/>
  <sheetViews>
    <sheetView zoomScale="110" zoomScaleNormal="110" workbookViewId="0">
      <selection activeCell="G2" sqref="G2"/>
    </sheetView>
  </sheetViews>
  <sheetFormatPr defaultRowHeight="15"/>
  <cols>
    <col min="2" max="2" width="30.28515625" bestFit="1" customWidth="1"/>
    <col min="3" max="3" width="10" bestFit="1" customWidth="1"/>
    <col min="4" max="5" width="9" bestFit="1" customWidth="1"/>
    <col min="7" max="7" width="30.140625" customWidth="1"/>
    <col min="10" max="10" width="14.7109375" bestFit="1" customWidth="1"/>
  </cols>
  <sheetData>
    <row r="1" spans="1:13">
      <c r="C1" t="s">
        <v>53</v>
      </c>
      <c r="D1" t="s">
        <v>54</v>
      </c>
      <c r="E1" t="s">
        <v>55</v>
      </c>
      <c r="G1" t="s">
        <v>56</v>
      </c>
      <c r="K1" t="s">
        <v>53</v>
      </c>
      <c r="L1" t="s">
        <v>54</v>
      </c>
      <c r="M1" t="s">
        <v>57</v>
      </c>
    </row>
    <row r="2" spans="1:13">
      <c r="A2" t="s">
        <v>58</v>
      </c>
      <c r="B2" t="s">
        <v>59</v>
      </c>
      <c r="C2" s="2">
        <v>0</v>
      </c>
      <c r="D2" s="1"/>
      <c r="E2" s="1"/>
      <c r="I2" t="s">
        <v>61</v>
      </c>
      <c r="K2" s="1"/>
      <c r="L2" s="1"/>
      <c r="M2" s="1"/>
    </row>
    <row r="3" spans="1:13">
      <c r="B3" t="s">
        <v>63</v>
      </c>
      <c r="C3" s="2">
        <f>$K8*15</f>
        <v>3375</v>
      </c>
      <c r="D3" s="2">
        <f>$K8*15</f>
        <v>3375</v>
      </c>
      <c r="E3" s="2">
        <f>$K8*15</f>
        <v>3375</v>
      </c>
      <c r="G3" t="s">
        <v>64</v>
      </c>
      <c r="I3" t="s">
        <v>72</v>
      </c>
      <c r="J3" t="s">
        <v>65</v>
      </c>
      <c r="K3" s="20">
        <v>80</v>
      </c>
      <c r="L3" s="20">
        <v>120</v>
      </c>
      <c r="M3" s="20">
        <v>200</v>
      </c>
    </row>
    <row r="4" spans="1:13">
      <c r="K4" s="1"/>
      <c r="L4" s="1"/>
      <c r="M4" s="1"/>
    </row>
    <row r="5" spans="1:13">
      <c r="A5" t="s">
        <v>67</v>
      </c>
      <c r="B5" t="s">
        <v>68</v>
      </c>
      <c r="C5" s="2">
        <v>0</v>
      </c>
      <c r="D5" s="2">
        <v>0</v>
      </c>
      <c r="E5" s="2">
        <v>0</v>
      </c>
      <c r="K5" s="1"/>
      <c r="L5" s="1"/>
      <c r="M5" s="1"/>
    </row>
    <row r="6" spans="1:13">
      <c r="B6" t="s">
        <v>70</v>
      </c>
      <c r="C6" s="2">
        <v>10000</v>
      </c>
      <c r="D6" s="2">
        <v>10000</v>
      </c>
      <c r="E6" s="2">
        <v>10000</v>
      </c>
      <c r="G6" t="s">
        <v>71</v>
      </c>
      <c r="K6" s="1"/>
      <c r="L6" s="1"/>
      <c r="M6" s="1"/>
    </row>
    <row r="7" spans="1:13">
      <c r="B7" t="s">
        <v>74</v>
      </c>
      <c r="C7" s="2">
        <v>21950</v>
      </c>
      <c r="D7" s="2">
        <v>19500</v>
      </c>
      <c r="E7" s="2">
        <v>19500</v>
      </c>
      <c r="G7" t="s">
        <v>75</v>
      </c>
      <c r="J7" s="19"/>
    </row>
    <row r="8" spans="1:13">
      <c r="B8" t="s">
        <v>76</v>
      </c>
      <c r="C8" s="2">
        <v>0</v>
      </c>
      <c r="D8" s="2">
        <v>0</v>
      </c>
      <c r="E8" s="2">
        <v>0</v>
      </c>
      <c r="J8" t="s">
        <v>77</v>
      </c>
      <c r="K8">
        <f>4500/20</f>
        <v>225</v>
      </c>
    </row>
    <row r="9" spans="1:13">
      <c r="B9" t="s">
        <v>78</v>
      </c>
      <c r="C9" s="2">
        <v>0</v>
      </c>
      <c r="D9" s="2">
        <v>0</v>
      </c>
      <c r="E9" s="2">
        <v>0</v>
      </c>
    </row>
    <row r="10" spans="1:13">
      <c r="B10" t="s">
        <v>79</v>
      </c>
      <c r="C10" s="2"/>
      <c r="D10" s="2"/>
      <c r="E10" s="2"/>
      <c r="J10" s="19"/>
    </row>
    <row r="11" spans="1:13">
      <c r="J11" s="1"/>
      <c r="K11" s="1"/>
      <c r="L11" s="1"/>
    </row>
    <row r="12" spans="1:13">
      <c r="A12" t="s">
        <v>81</v>
      </c>
      <c r="B12" s="3" t="s">
        <v>82</v>
      </c>
      <c r="C12" s="1">
        <f>SUM(C3:C10)</f>
        <v>35325</v>
      </c>
      <c r="D12" s="1">
        <f>SUM(D3:D10)</f>
        <v>32875</v>
      </c>
      <c r="E12" s="1">
        <f>SUM(E3:E10)</f>
        <v>32875</v>
      </c>
      <c r="J12" s="1"/>
      <c r="K12" s="1"/>
      <c r="L12" s="1"/>
    </row>
    <row r="13" spans="1:13">
      <c r="B13" t="s">
        <v>83</v>
      </c>
      <c r="C13" s="1">
        <f>C12-(K2*K4)</f>
        <v>35325</v>
      </c>
      <c r="D13" s="1">
        <f>D12-(L2*L4)</f>
        <v>32875</v>
      </c>
      <c r="E13" s="1">
        <f>E12-(M2*M4)</f>
        <v>32875</v>
      </c>
      <c r="J13" s="1"/>
      <c r="K13" s="1"/>
      <c r="L13" s="1"/>
    </row>
    <row r="14" spans="1:13">
      <c r="B14" t="s">
        <v>84</v>
      </c>
      <c r="C14" s="22">
        <f>C13/K3</f>
        <v>441.5625</v>
      </c>
      <c r="D14" s="22">
        <f>D13/L3</f>
        <v>273.95833333333331</v>
      </c>
      <c r="E14" s="22">
        <f>E13/M3</f>
        <v>164.375</v>
      </c>
    </row>
    <row r="15" spans="1:13">
      <c r="B15" t="s">
        <v>85</v>
      </c>
      <c r="C15" s="21">
        <f>C14/12</f>
        <v>36.796875</v>
      </c>
      <c r="D15" s="21">
        <f t="shared" ref="D15:E15" si="0">D14/12</f>
        <v>22.829861111111111</v>
      </c>
      <c r="E15" s="21">
        <f t="shared" si="0"/>
        <v>13.697916666666666</v>
      </c>
    </row>
    <row r="16" spans="1:13">
      <c r="C16" s="18"/>
      <c r="D16" s="18"/>
      <c r="E16" s="18"/>
    </row>
    <row r="17" spans="1:9">
      <c r="A17" t="s">
        <v>86</v>
      </c>
      <c r="B17" s="3" t="s">
        <v>87</v>
      </c>
      <c r="C17" s="1">
        <f>C12+$C2/5</f>
        <v>35325</v>
      </c>
      <c r="D17" s="1">
        <f>D12+$C2/5</f>
        <v>32875</v>
      </c>
      <c r="E17" s="1">
        <f>E12+$C2/5</f>
        <v>32875</v>
      </c>
    </row>
    <row r="18" spans="1:9">
      <c r="B18" t="s">
        <v>83</v>
      </c>
      <c r="C18" s="1">
        <f>C17-(K2*K4)</f>
        <v>35325</v>
      </c>
      <c r="D18" s="1">
        <f>D17-(L2*L4)</f>
        <v>32875</v>
      </c>
      <c r="E18" s="1">
        <f>E17-(M2*M4)</f>
        <v>32875</v>
      </c>
      <c r="F18" s="1"/>
    </row>
    <row r="19" spans="1:9">
      <c r="B19" t="s">
        <v>84</v>
      </c>
      <c r="C19" s="22">
        <f>C18/K3</f>
        <v>441.5625</v>
      </c>
      <c r="D19" s="22">
        <f>D18/L3</f>
        <v>273.95833333333331</v>
      </c>
      <c r="E19" s="22">
        <f>E18/M3</f>
        <v>164.375</v>
      </c>
    </row>
    <row r="20" spans="1:9">
      <c r="B20" t="s">
        <v>85</v>
      </c>
      <c r="C20" s="21">
        <f>C19/12</f>
        <v>36.796875</v>
      </c>
      <c r="D20" s="21">
        <f t="shared" ref="D20:E20" si="1">D19/12</f>
        <v>22.829861111111111</v>
      </c>
      <c r="E20" s="21">
        <f t="shared" si="1"/>
        <v>13.697916666666666</v>
      </c>
      <c r="H20" s="18"/>
      <c r="I20" s="18"/>
    </row>
    <row r="21" spans="1:9">
      <c r="I21" s="18"/>
    </row>
  </sheetData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66C88-3B9B-427F-920B-85E074E9B470}">
  <sheetPr codeName="Sheet6"/>
  <dimension ref="A1:N26"/>
  <sheetViews>
    <sheetView zoomScale="110" zoomScaleNormal="110" workbookViewId="0">
      <selection activeCell="K11" sqref="K11"/>
    </sheetView>
  </sheetViews>
  <sheetFormatPr defaultRowHeight="15"/>
  <cols>
    <col min="2" max="2" width="30.28515625" bestFit="1" customWidth="1"/>
    <col min="3" max="3" width="10" bestFit="1" customWidth="1"/>
    <col min="4" max="5" width="9" bestFit="1" customWidth="1"/>
    <col min="7" max="7" width="30.140625" customWidth="1"/>
    <col min="10" max="10" width="18.42578125" customWidth="1"/>
  </cols>
  <sheetData>
    <row r="1" spans="1:13">
      <c r="C1" t="s">
        <v>53</v>
      </c>
      <c r="D1" t="s">
        <v>54</v>
      </c>
      <c r="E1" t="s">
        <v>55</v>
      </c>
      <c r="G1" t="s">
        <v>56</v>
      </c>
      <c r="K1" t="s">
        <v>53</v>
      </c>
      <c r="L1" t="s">
        <v>54</v>
      </c>
      <c r="M1" t="s">
        <v>57</v>
      </c>
    </row>
    <row r="2" spans="1:13">
      <c r="A2" t="s">
        <v>58</v>
      </c>
      <c r="B2" t="s">
        <v>59</v>
      </c>
      <c r="C2" s="2">
        <v>0</v>
      </c>
      <c r="D2" s="1"/>
      <c r="E2" s="1"/>
      <c r="I2" t="s">
        <v>61</v>
      </c>
      <c r="K2" s="1"/>
      <c r="L2" s="1"/>
      <c r="M2" s="1"/>
    </row>
    <row r="3" spans="1:13">
      <c r="B3" t="s">
        <v>63</v>
      </c>
      <c r="C3" s="2">
        <f>$K8*15</f>
        <v>3375</v>
      </c>
      <c r="D3" s="2">
        <f>$K8*15</f>
        <v>3375</v>
      </c>
      <c r="E3" s="2">
        <f>$K8*15</f>
        <v>3375</v>
      </c>
      <c r="G3" t="s">
        <v>64</v>
      </c>
      <c r="I3" t="s">
        <v>72</v>
      </c>
      <c r="J3" t="s">
        <v>65</v>
      </c>
      <c r="K3" s="20">
        <v>80</v>
      </c>
      <c r="L3" s="20">
        <v>120</v>
      </c>
      <c r="M3" s="20">
        <v>200</v>
      </c>
    </row>
    <row r="4" spans="1:13">
      <c r="C4" s="1"/>
      <c r="D4" s="1"/>
      <c r="E4" s="1"/>
      <c r="K4" s="1"/>
      <c r="L4" s="1"/>
      <c r="M4" s="1"/>
    </row>
    <row r="5" spans="1:13">
      <c r="A5" t="s">
        <v>67</v>
      </c>
      <c r="B5" t="s">
        <v>68</v>
      </c>
      <c r="C5" s="2">
        <v>0</v>
      </c>
      <c r="D5" s="2">
        <v>0</v>
      </c>
      <c r="E5" s="2">
        <v>0</v>
      </c>
      <c r="K5" s="1"/>
      <c r="L5" s="1"/>
      <c r="M5" s="1"/>
    </row>
    <row r="6" spans="1:13">
      <c r="B6" t="s">
        <v>70</v>
      </c>
      <c r="C6" s="2">
        <v>10000</v>
      </c>
      <c r="D6" s="2">
        <v>10000</v>
      </c>
      <c r="E6" s="2">
        <v>10000</v>
      </c>
      <c r="G6" t="s">
        <v>71</v>
      </c>
      <c r="K6" s="1"/>
      <c r="L6" s="1"/>
      <c r="M6" s="1"/>
    </row>
    <row r="7" spans="1:13">
      <c r="B7" t="s">
        <v>74</v>
      </c>
      <c r="C7" s="2">
        <v>21950</v>
      </c>
      <c r="D7" s="2">
        <v>19500</v>
      </c>
      <c r="E7" s="2">
        <v>19500</v>
      </c>
      <c r="G7" t="s">
        <v>75</v>
      </c>
      <c r="J7" s="19"/>
    </row>
    <row r="8" spans="1:13">
      <c r="B8" t="s">
        <v>76</v>
      </c>
      <c r="C8" s="2">
        <v>23600</v>
      </c>
      <c r="D8" s="2">
        <v>23600</v>
      </c>
      <c r="E8" s="2">
        <v>23600</v>
      </c>
      <c r="G8" t="s">
        <v>88</v>
      </c>
      <c r="J8" t="s">
        <v>77</v>
      </c>
      <c r="K8">
        <f>4500/20</f>
        <v>225</v>
      </c>
    </row>
    <row r="9" spans="1:13">
      <c r="B9" t="s">
        <v>78</v>
      </c>
      <c r="C9" s="2">
        <v>0</v>
      </c>
      <c r="D9" s="2">
        <v>0</v>
      </c>
      <c r="E9" s="2">
        <v>0</v>
      </c>
    </row>
    <row r="10" spans="1:13">
      <c r="B10" t="s">
        <v>79</v>
      </c>
      <c r="C10" s="2"/>
      <c r="D10" s="2"/>
      <c r="E10" s="2"/>
      <c r="I10" t="s">
        <v>89</v>
      </c>
      <c r="J10" s="19" t="s">
        <v>90</v>
      </c>
      <c r="K10" s="18">
        <v>25</v>
      </c>
    </row>
    <row r="11" spans="1:13">
      <c r="C11" s="1"/>
      <c r="D11" s="1"/>
      <c r="E11" s="1"/>
      <c r="J11" t="s">
        <v>91</v>
      </c>
      <c r="K11" s="1">
        <f>K3*($K10/100)</f>
        <v>20</v>
      </c>
      <c r="L11" s="1">
        <f t="shared" ref="L11:M11" si="0">L3*($K10/100)</f>
        <v>30</v>
      </c>
      <c r="M11" s="1">
        <f t="shared" si="0"/>
        <v>50</v>
      </c>
    </row>
    <row r="12" spans="1:13">
      <c r="C12" s="1"/>
      <c r="D12" s="1"/>
      <c r="E12" s="1"/>
      <c r="J12" t="s">
        <v>92</v>
      </c>
      <c r="K12" s="1">
        <f>K3-K11</f>
        <v>60</v>
      </c>
      <c r="L12" s="1">
        <f t="shared" ref="L12:M12" si="1">L3-L11</f>
        <v>90</v>
      </c>
      <c r="M12" s="1">
        <f t="shared" si="1"/>
        <v>150</v>
      </c>
    </row>
    <row r="13" spans="1:13">
      <c r="J13" s="1"/>
      <c r="K13" s="1"/>
      <c r="L13" s="1"/>
    </row>
    <row r="14" spans="1:13">
      <c r="A14" t="s">
        <v>81</v>
      </c>
      <c r="B14" s="3" t="s">
        <v>82</v>
      </c>
      <c r="C14" s="1">
        <f>SUM(C3:C11)</f>
        <v>58925</v>
      </c>
      <c r="D14" s="1">
        <f>SUM(D3:D11)</f>
        <v>56475</v>
      </c>
      <c r="E14" s="1">
        <f>SUM(E3:E11)</f>
        <v>56475</v>
      </c>
      <c r="I14" s="3" t="s">
        <v>93</v>
      </c>
      <c r="J14" s="1">
        <f>(SUM(C3:C7)+C11)</f>
        <v>35325</v>
      </c>
      <c r="K14" s="1">
        <f t="shared" ref="K14:L14" si="2">(SUM(D3:D7)+D11)</f>
        <v>32875</v>
      </c>
      <c r="L14" s="1">
        <f t="shared" si="2"/>
        <v>32875</v>
      </c>
    </row>
    <row r="15" spans="1:13">
      <c r="B15" t="s">
        <v>83</v>
      </c>
      <c r="C15" s="1">
        <f>C14-(K2*K4)</f>
        <v>58925</v>
      </c>
      <c r="D15" s="1">
        <f>D14-(L2*L4)</f>
        <v>56475</v>
      </c>
      <c r="E15" s="1">
        <f>E14-(M2*M4)</f>
        <v>56475</v>
      </c>
      <c r="I15" t="s">
        <v>94</v>
      </c>
      <c r="J15" s="1">
        <f>J14-(K2*K4)</f>
        <v>35325</v>
      </c>
      <c r="K15" s="1">
        <f t="shared" ref="K15:L15" si="3">K14-(L2*L4)</f>
        <v>32875</v>
      </c>
      <c r="L15" s="1">
        <f t="shared" si="3"/>
        <v>32875</v>
      </c>
    </row>
    <row r="16" spans="1:13">
      <c r="B16" t="s">
        <v>84</v>
      </c>
      <c r="C16" s="22">
        <f>C15/K3</f>
        <v>736.5625</v>
      </c>
      <c r="D16" s="22">
        <f>D15/L3</f>
        <v>470.625</v>
      </c>
      <c r="E16" s="22">
        <f>E15/M3</f>
        <v>282.375</v>
      </c>
      <c r="I16" t="s">
        <v>84</v>
      </c>
      <c r="J16" s="22">
        <f>J15/K3</f>
        <v>441.5625</v>
      </c>
      <c r="K16" s="22">
        <f t="shared" ref="K16:L16" si="4">K15/L3</f>
        <v>273.95833333333331</v>
      </c>
      <c r="L16" s="22">
        <f t="shared" si="4"/>
        <v>164.375</v>
      </c>
    </row>
    <row r="17" spans="1:14">
      <c r="B17" t="s">
        <v>85</v>
      </c>
      <c r="C17" s="21">
        <f>C16/12</f>
        <v>61.380208333333336</v>
      </c>
      <c r="D17" s="21">
        <f t="shared" ref="D17:E17" si="5">D16/12</f>
        <v>39.21875</v>
      </c>
      <c r="E17" s="21">
        <f t="shared" si="5"/>
        <v>23.53125</v>
      </c>
      <c r="G17" t="s">
        <v>95</v>
      </c>
      <c r="I17" t="s">
        <v>85</v>
      </c>
      <c r="J17" s="21">
        <f>J16/12</f>
        <v>36.796875</v>
      </c>
      <c r="K17" s="21">
        <f>K16/12</f>
        <v>22.829861111111111</v>
      </c>
      <c r="L17" s="21">
        <f>L16/12</f>
        <v>13.697916666666666</v>
      </c>
      <c r="N17" t="s">
        <v>96</v>
      </c>
    </row>
    <row r="18" spans="1:14">
      <c r="C18" s="21"/>
      <c r="D18" s="21"/>
      <c r="E18" s="21"/>
      <c r="I18" t="s">
        <v>97</v>
      </c>
      <c r="J18" s="22">
        <f>(C8/K11)/12</f>
        <v>98.333333333333329</v>
      </c>
      <c r="K18" s="22">
        <f t="shared" ref="K18:L18" si="6">(D8/L11)/12</f>
        <v>65.555555555555557</v>
      </c>
      <c r="L18" s="22">
        <f t="shared" si="6"/>
        <v>39.333333333333336</v>
      </c>
    </row>
    <row r="19" spans="1:14">
      <c r="C19" s="21"/>
      <c r="D19" s="21"/>
      <c r="E19" s="21"/>
      <c r="I19" t="s">
        <v>98</v>
      </c>
      <c r="J19" s="21">
        <f>SUM(J17:J18)</f>
        <v>135.13020833333331</v>
      </c>
      <c r="K19" s="21">
        <f t="shared" ref="K19:L19" si="7">SUM(K17:K18)</f>
        <v>88.385416666666671</v>
      </c>
      <c r="L19" s="21">
        <f t="shared" si="7"/>
        <v>53.03125</v>
      </c>
      <c r="N19" t="s">
        <v>99</v>
      </c>
    </row>
    <row r="20" spans="1:14">
      <c r="C20" s="18"/>
      <c r="D20" s="18"/>
      <c r="E20" s="18"/>
      <c r="J20" s="18"/>
      <c r="K20" s="18"/>
      <c r="L20" s="18"/>
    </row>
    <row r="21" spans="1:14">
      <c r="A21" t="s">
        <v>86</v>
      </c>
      <c r="B21" s="3" t="s">
        <v>87</v>
      </c>
      <c r="C21" s="1">
        <f>C14+$C2/5</f>
        <v>58925</v>
      </c>
      <c r="D21" s="1">
        <f>D14+$C2/5</f>
        <v>56475</v>
      </c>
      <c r="E21" s="1">
        <f>E14+$C2/5</f>
        <v>56475</v>
      </c>
      <c r="I21" s="3" t="s">
        <v>100</v>
      </c>
      <c r="J21" s="1">
        <f>J14+$C2/5</f>
        <v>35325</v>
      </c>
      <c r="K21" s="1">
        <f t="shared" ref="K21:L21" si="8">K14+$C2/5</f>
        <v>32875</v>
      </c>
      <c r="L21" s="1">
        <f t="shared" si="8"/>
        <v>32875</v>
      </c>
    </row>
    <row r="22" spans="1:14">
      <c r="B22" t="s">
        <v>83</v>
      </c>
      <c r="C22" s="1">
        <f>C21-K2*K4</f>
        <v>58925</v>
      </c>
      <c r="D22" s="1">
        <f>D21-L2*L4</f>
        <v>56475</v>
      </c>
      <c r="E22" s="1">
        <f>E21-M2*M4</f>
        <v>56475</v>
      </c>
      <c r="I22" t="s">
        <v>94</v>
      </c>
      <c r="J22" s="1">
        <f>J21-K2*K4</f>
        <v>35325</v>
      </c>
      <c r="K22" s="1">
        <f t="shared" ref="K22:L22" si="9">K21-L2*L4</f>
        <v>32875</v>
      </c>
      <c r="L22" s="1">
        <f t="shared" si="9"/>
        <v>32875</v>
      </c>
    </row>
    <row r="23" spans="1:14">
      <c r="B23" t="s">
        <v>84</v>
      </c>
      <c r="C23" s="22">
        <f>C22/K3</f>
        <v>736.5625</v>
      </c>
      <c r="D23" s="22">
        <f t="shared" ref="D23:E23" si="10">D22/L3</f>
        <v>470.625</v>
      </c>
      <c r="E23" s="22">
        <f t="shared" si="10"/>
        <v>282.375</v>
      </c>
      <c r="I23" t="s">
        <v>84</v>
      </c>
      <c r="J23" s="22">
        <f>J22/K3</f>
        <v>441.5625</v>
      </c>
      <c r="K23" s="22">
        <f t="shared" ref="K23:L23" si="11">K22/L3</f>
        <v>273.95833333333331</v>
      </c>
      <c r="L23" s="22">
        <f t="shared" si="11"/>
        <v>164.375</v>
      </c>
    </row>
    <row r="24" spans="1:14">
      <c r="B24" t="s">
        <v>85</v>
      </c>
      <c r="C24" s="21">
        <f>C23/12</f>
        <v>61.380208333333336</v>
      </c>
      <c r="D24" s="21">
        <f t="shared" ref="D24:E24" si="12">D23/12</f>
        <v>39.21875</v>
      </c>
      <c r="E24" s="21">
        <f t="shared" si="12"/>
        <v>23.53125</v>
      </c>
      <c r="G24" t="s">
        <v>95</v>
      </c>
      <c r="H24" s="18"/>
      <c r="I24" t="s">
        <v>85</v>
      </c>
      <c r="J24" s="21">
        <f>J23/12</f>
        <v>36.796875</v>
      </c>
      <c r="K24" s="21">
        <f t="shared" ref="K24:L24" si="13">K23/12</f>
        <v>22.829861111111111</v>
      </c>
      <c r="L24" s="21">
        <f t="shared" si="13"/>
        <v>13.697916666666666</v>
      </c>
      <c r="N24" t="s">
        <v>96</v>
      </c>
    </row>
    <row r="25" spans="1:14">
      <c r="I25" s="23" t="s">
        <v>97</v>
      </c>
      <c r="J25" s="1">
        <f>J18</f>
        <v>98.333333333333329</v>
      </c>
      <c r="K25" s="1">
        <f t="shared" ref="K25:L25" si="14">K18</f>
        <v>65.555555555555557</v>
      </c>
      <c r="L25" s="1">
        <f t="shared" si="14"/>
        <v>39.333333333333336</v>
      </c>
    </row>
    <row r="26" spans="1:14">
      <c r="I26" t="s">
        <v>98</v>
      </c>
      <c r="J26" s="21">
        <f>SUM(J24:J25)</f>
        <v>135.13020833333331</v>
      </c>
      <c r="K26" s="21">
        <f t="shared" ref="K26:L26" si="15">SUM(K24:K25)</f>
        <v>88.385416666666671</v>
      </c>
      <c r="L26" s="21">
        <f t="shared" si="15"/>
        <v>53.03125</v>
      </c>
      <c r="N26" t="s">
        <v>99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Scroll Bar 1">
              <controlPr defaultSize="0" autoPict="0">
                <anchor moveWithCells="1">
                  <from>
                    <xdr:col>11</xdr:col>
                    <xdr:colOff>66675</xdr:colOff>
                    <xdr:row>8</xdr:row>
                    <xdr:rowOff>133350</xdr:rowOff>
                  </from>
                  <to>
                    <xdr:col>13</xdr:col>
                    <xdr:colOff>276225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Jelle Van Camp</dc:creator>
  <cp:keywords/>
  <dc:description/>
  <cp:lastModifiedBy>Jelle Van Camp</cp:lastModifiedBy>
  <cp:revision/>
  <dcterms:created xsi:type="dcterms:W3CDTF">2022-03-24T13:59:19Z</dcterms:created>
  <dcterms:modified xsi:type="dcterms:W3CDTF">2023-06-28T11:57:19Z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337be75-dfbb-4261-9834-ac247c7dde13_Enabled">
    <vt:lpwstr>true</vt:lpwstr>
  </property>
  <property fmtid="{D5CDD505-2E9C-101B-9397-08002B2CF9AE}" pid="3" name="MSIP_Label_c337be75-dfbb-4261-9834-ac247c7dde13_SetDate">
    <vt:lpwstr>2023-03-17T13:30:12Z</vt:lpwstr>
  </property>
  <property fmtid="{D5CDD505-2E9C-101B-9397-08002B2CF9AE}" pid="4" name="MSIP_Label_c337be75-dfbb-4261-9834-ac247c7dde13_Method">
    <vt:lpwstr>Standard</vt:lpwstr>
  </property>
  <property fmtid="{D5CDD505-2E9C-101B-9397-08002B2CF9AE}" pid="5" name="MSIP_Label_c337be75-dfbb-4261-9834-ac247c7dde13_Name">
    <vt:lpwstr>Algemeen</vt:lpwstr>
  </property>
  <property fmtid="{D5CDD505-2E9C-101B-9397-08002B2CF9AE}" pid="6" name="MSIP_Label_c337be75-dfbb-4261-9834-ac247c7dde13_SiteId">
    <vt:lpwstr>77d33cc5-c9b4-4766-95c7-ed5b515e1cce</vt:lpwstr>
  </property>
  <property fmtid="{D5CDD505-2E9C-101B-9397-08002B2CF9AE}" pid="7" name="MSIP_Label_c337be75-dfbb-4261-9834-ac247c7dde13_ActionId">
    <vt:lpwstr>4fca3ff7-490d-41f9-9659-6d4791d4be7a</vt:lpwstr>
  </property>
  <property fmtid="{D5CDD505-2E9C-101B-9397-08002B2CF9AE}" pid="8" name="MSIP_Label_c337be75-dfbb-4261-9834-ac247c7dde13_ContentBits">
    <vt:lpwstr>0</vt:lpwstr>
  </property>
</Properties>
</file>